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outeze\VS\7177s - MMN Jilemnice - demolice Semily\3. Profil zadavatele (vkládá RTS)\"/>
    </mc:Choice>
  </mc:AlternateContent>
  <bookViews>
    <workbookView xWindow="0" yWindow="0" windowWidth="9660" windowHeight="5490" activeTab="2"/>
  </bookViews>
  <sheets>
    <sheet name="Krycí list rozpočtu" sheetId="4" r:id="rId1"/>
    <sheet name="Stavební rozpočet - součet" sheetId="2" r:id="rId2"/>
    <sheet name="Stavební rozpočet" sheetId="1" r:id="rId3"/>
    <sheet name="Výkaz výměr" sheetId="3" r:id="rId4"/>
  </sheets>
  <calcPr calcId="152511"/>
</workbook>
</file>

<file path=xl/calcChain.xml><?xml version="1.0" encoding="utf-8"?>
<calcChain xmlns="http://schemas.openxmlformats.org/spreadsheetml/2006/main">
  <c r="C2" i="4" l="1"/>
  <c r="F2" i="4"/>
  <c r="C4" i="4"/>
  <c r="F4" i="4"/>
  <c r="C6" i="4"/>
  <c r="F6" i="4"/>
  <c r="F8" i="4"/>
  <c r="C10" i="4"/>
  <c r="F10" i="4"/>
  <c r="K14" i="1"/>
  <c r="AL14" i="1" s="1"/>
  <c r="Z14" i="1"/>
  <c r="AD14" i="1"/>
  <c r="AE14" i="1"/>
  <c r="AF14" i="1"/>
  <c r="AG14" i="1"/>
  <c r="AH14" i="1"/>
  <c r="AJ14" i="1"/>
  <c r="AK14" i="1"/>
  <c r="AO14" i="1"/>
  <c r="I14" i="1" s="1"/>
  <c r="AP14" i="1"/>
  <c r="AW14" i="1"/>
  <c r="BD14" i="1"/>
  <c r="BF14" i="1"/>
  <c r="BI14" i="1"/>
  <c r="AC14" i="1" s="1"/>
  <c r="BJ14" i="1"/>
  <c r="I15" i="1"/>
  <c r="K15" i="1"/>
  <c r="AL15" i="1" s="1"/>
  <c r="Z15" i="1"/>
  <c r="AD15" i="1"/>
  <c r="AE15" i="1"/>
  <c r="AF15" i="1"/>
  <c r="AG15" i="1"/>
  <c r="AH15" i="1"/>
  <c r="AJ15" i="1"/>
  <c r="AK15" i="1"/>
  <c r="AO15" i="1"/>
  <c r="AW15" i="1" s="1"/>
  <c r="AP15" i="1"/>
  <c r="J15" i="1" s="1"/>
  <c r="AX15" i="1"/>
  <c r="AV15" i="1" s="1"/>
  <c r="BD15" i="1"/>
  <c r="BF15" i="1"/>
  <c r="BH15" i="1"/>
  <c r="AB15" i="1" s="1"/>
  <c r="BI15" i="1"/>
  <c r="AC15" i="1" s="1"/>
  <c r="BJ15" i="1"/>
  <c r="J16" i="1"/>
  <c r="K16" i="1"/>
  <c r="Z16" i="1"/>
  <c r="AD16" i="1"/>
  <c r="AE16" i="1"/>
  <c r="AF16" i="1"/>
  <c r="AG16" i="1"/>
  <c r="AH16" i="1"/>
  <c r="AJ16" i="1"/>
  <c r="AK16" i="1"/>
  <c r="AL16" i="1"/>
  <c r="AO16" i="1"/>
  <c r="I16" i="1" s="1"/>
  <c r="AP16" i="1"/>
  <c r="AX16" i="1" s="1"/>
  <c r="AW16" i="1"/>
  <c r="BD16" i="1"/>
  <c r="BF16" i="1"/>
  <c r="BH16" i="1"/>
  <c r="AB16" i="1" s="1"/>
  <c r="BI16" i="1"/>
  <c r="AC16" i="1" s="1"/>
  <c r="BJ16" i="1"/>
  <c r="K17" i="1"/>
  <c r="AL17" i="1" s="1"/>
  <c r="Z17" i="1"/>
  <c r="AD17" i="1"/>
  <c r="AE17" i="1"/>
  <c r="AF17" i="1"/>
  <c r="AG17" i="1"/>
  <c r="AH17" i="1"/>
  <c r="AJ17" i="1"/>
  <c r="AK17" i="1"/>
  <c r="AO17" i="1"/>
  <c r="AP17" i="1"/>
  <c r="J17" i="1" s="1"/>
  <c r="AX17" i="1"/>
  <c r="BD17" i="1"/>
  <c r="BF17" i="1"/>
  <c r="BH17" i="1"/>
  <c r="AB17" i="1" s="1"/>
  <c r="BI17" i="1"/>
  <c r="AC17" i="1" s="1"/>
  <c r="BJ17" i="1"/>
  <c r="K18" i="1"/>
  <c r="Z18" i="1"/>
  <c r="AD18" i="1"/>
  <c r="AE18" i="1"/>
  <c r="AF18" i="1"/>
  <c r="AG18" i="1"/>
  <c r="AH18" i="1"/>
  <c r="AJ18" i="1"/>
  <c r="AK18" i="1"/>
  <c r="AL18" i="1"/>
  <c r="AO18" i="1"/>
  <c r="I18" i="1" s="1"/>
  <c r="AP18" i="1"/>
  <c r="AW18" i="1"/>
  <c r="BD18" i="1"/>
  <c r="BF18" i="1"/>
  <c r="BH18" i="1"/>
  <c r="AB18" i="1" s="1"/>
  <c r="BI18" i="1"/>
  <c r="AC18" i="1" s="1"/>
  <c r="BJ18" i="1"/>
  <c r="I19" i="1"/>
  <c r="K19" i="1"/>
  <c r="AL19" i="1" s="1"/>
  <c r="Z19" i="1"/>
  <c r="AD19" i="1"/>
  <c r="AE19" i="1"/>
  <c r="AF19" i="1"/>
  <c r="AG19" i="1"/>
  <c r="AH19" i="1"/>
  <c r="AJ19" i="1"/>
  <c r="AK19" i="1"/>
  <c r="AO19" i="1"/>
  <c r="AW19" i="1" s="1"/>
  <c r="AP19" i="1"/>
  <c r="J19" i="1" s="1"/>
  <c r="AX19" i="1"/>
  <c r="AV19" i="1" s="1"/>
  <c r="BD19" i="1"/>
  <c r="BF19" i="1"/>
  <c r="BH19" i="1"/>
  <c r="AB19" i="1" s="1"/>
  <c r="BI19" i="1"/>
  <c r="AC19" i="1" s="1"/>
  <c r="BJ19" i="1"/>
  <c r="J20" i="1"/>
  <c r="K20" i="1"/>
  <c r="Z20" i="1"/>
  <c r="AD20" i="1"/>
  <c r="AE20" i="1"/>
  <c r="AF20" i="1"/>
  <c r="AG20" i="1"/>
  <c r="AH20" i="1"/>
  <c r="AJ20" i="1"/>
  <c r="AK20" i="1"/>
  <c r="AL20" i="1"/>
  <c r="AO20" i="1"/>
  <c r="I20" i="1" s="1"/>
  <c r="AP20" i="1"/>
  <c r="AX20" i="1" s="1"/>
  <c r="AW20" i="1"/>
  <c r="BD20" i="1"/>
  <c r="BF20" i="1"/>
  <c r="BH20" i="1"/>
  <c r="AB20" i="1" s="1"/>
  <c r="BI20" i="1"/>
  <c r="AC20" i="1" s="1"/>
  <c r="BJ20" i="1"/>
  <c r="K21" i="1"/>
  <c r="AL21" i="1" s="1"/>
  <c r="Z21" i="1"/>
  <c r="AD21" i="1"/>
  <c r="AE21" i="1"/>
  <c r="AF21" i="1"/>
  <c r="AG21" i="1"/>
  <c r="AH21" i="1"/>
  <c r="AJ21" i="1"/>
  <c r="AK21" i="1"/>
  <c r="AO21" i="1"/>
  <c r="AP21" i="1"/>
  <c r="J21" i="1" s="1"/>
  <c r="AX21" i="1"/>
  <c r="BD21" i="1"/>
  <c r="BF21" i="1"/>
  <c r="BH21" i="1"/>
  <c r="AB21" i="1" s="1"/>
  <c r="BI21" i="1"/>
  <c r="AC21" i="1" s="1"/>
  <c r="BJ21" i="1"/>
  <c r="AS22" i="1"/>
  <c r="J23" i="1"/>
  <c r="J22" i="1" s="1"/>
  <c r="K23" i="1"/>
  <c r="Z23" i="1"/>
  <c r="AD23" i="1"/>
  <c r="AE23" i="1"/>
  <c r="AF23" i="1"/>
  <c r="AG23" i="1"/>
  <c r="AH23" i="1"/>
  <c r="AJ23" i="1"/>
  <c r="AK23" i="1"/>
  <c r="AT22" i="1" s="1"/>
  <c r="AL23" i="1"/>
  <c r="AU22" i="1" s="1"/>
  <c r="AO23" i="1"/>
  <c r="I23" i="1" s="1"/>
  <c r="AP23" i="1"/>
  <c r="AX23" i="1" s="1"/>
  <c r="AW23" i="1"/>
  <c r="BD23" i="1"/>
  <c r="BF23" i="1"/>
  <c r="BH23" i="1"/>
  <c r="AB23" i="1" s="1"/>
  <c r="BI23" i="1"/>
  <c r="AC23" i="1" s="1"/>
  <c r="BJ23" i="1"/>
  <c r="K24" i="1"/>
  <c r="AL24" i="1" s="1"/>
  <c r="Z24" i="1"/>
  <c r="AD24" i="1"/>
  <c r="AE24" i="1"/>
  <c r="AF24" i="1"/>
  <c r="AG24" i="1"/>
  <c r="AH24" i="1"/>
  <c r="AJ24" i="1"/>
  <c r="AK24" i="1"/>
  <c r="AO24" i="1"/>
  <c r="AP24" i="1"/>
  <c r="J24" i="1" s="1"/>
  <c r="AX24" i="1"/>
  <c r="BD24" i="1"/>
  <c r="BF24" i="1"/>
  <c r="BH24" i="1"/>
  <c r="AB24" i="1" s="1"/>
  <c r="BI24" i="1"/>
  <c r="AC24" i="1" s="1"/>
  <c r="BJ24" i="1"/>
  <c r="J26" i="1"/>
  <c r="K26" i="1"/>
  <c r="Z26" i="1"/>
  <c r="AD26" i="1"/>
  <c r="AE26" i="1"/>
  <c r="AF26" i="1"/>
  <c r="AG26" i="1"/>
  <c r="AH26" i="1"/>
  <c r="AJ26" i="1"/>
  <c r="AK26" i="1"/>
  <c r="AL26" i="1"/>
  <c r="AO26" i="1"/>
  <c r="I26" i="1" s="1"/>
  <c r="AP26" i="1"/>
  <c r="AX26" i="1" s="1"/>
  <c r="AW26" i="1"/>
  <c r="BD26" i="1"/>
  <c r="BF26" i="1"/>
  <c r="BH26" i="1"/>
  <c r="AB26" i="1" s="1"/>
  <c r="BI26" i="1"/>
  <c r="AC26" i="1" s="1"/>
  <c r="BJ26" i="1"/>
  <c r="K27" i="1"/>
  <c r="AL27" i="1" s="1"/>
  <c r="Z27" i="1"/>
  <c r="AD27" i="1"/>
  <c r="AE27" i="1"/>
  <c r="AF27" i="1"/>
  <c r="AG27" i="1"/>
  <c r="AH27" i="1"/>
  <c r="AJ27" i="1"/>
  <c r="AK27" i="1"/>
  <c r="AO27" i="1"/>
  <c r="AP27" i="1"/>
  <c r="J27" i="1" s="1"/>
  <c r="AX27" i="1"/>
  <c r="BD27" i="1"/>
  <c r="BF27" i="1"/>
  <c r="BH27" i="1"/>
  <c r="AB27" i="1" s="1"/>
  <c r="BI27" i="1"/>
  <c r="AC27" i="1" s="1"/>
  <c r="BJ27" i="1"/>
  <c r="K28" i="1"/>
  <c r="Z28" i="1"/>
  <c r="AD28" i="1"/>
  <c r="AE28" i="1"/>
  <c r="AF28" i="1"/>
  <c r="AG28" i="1"/>
  <c r="AH28" i="1"/>
  <c r="AJ28" i="1"/>
  <c r="AS25" i="1" s="1"/>
  <c r="AK28" i="1"/>
  <c r="AL28" i="1"/>
  <c r="AO28" i="1"/>
  <c r="I28" i="1" s="1"/>
  <c r="AP28" i="1"/>
  <c r="AW28" i="1"/>
  <c r="BD28" i="1"/>
  <c r="BF28" i="1"/>
  <c r="BH28" i="1"/>
  <c r="AB28" i="1" s="1"/>
  <c r="BI28" i="1"/>
  <c r="AC28" i="1" s="1"/>
  <c r="BJ28" i="1"/>
  <c r="I29" i="1"/>
  <c r="K29" i="1"/>
  <c r="AL29" i="1" s="1"/>
  <c r="Z29" i="1"/>
  <c r="AD29" i="1"/>
  <c r="AE29" i="1"/>
  <c r="AF29" i="1"/>
  <c r="AG29" i="1"/>
  <c r="AH29" i="1"/>
  <c r="AJ29" i="1"/>
  <c r="AK29" i="1"/>
  <c r="AO29" i="1"/>
  <c r="AW29" i="1" s="1"/>
  <c r="AP29" i="1"/>
  <c r="J29" i="1" s="1"/>
  <c r="AX29" i="1"/>
  <c r="AV29" i="1" s="1"/>
  <c r="BD29" i="1"/>
  <c r="BF29" i="1"/>
  <c r="BH29" i="1"/>
  <c r="AB29" i="1" s="1"/>
  <c r="BI29" i="1"/>
  <c r="AC29" i="1" s="1"/>
  <c r="BJ29" i="1"/>
  <c r="K31" i="1"/>
  <c r="Z31" i="1"/>
  <c r="AD31" i="1"/>
  <c r="AE31" i="1"/>
  <c r="AF31" i="1"/>
  <c r="AG31" i="1"/>
  <c r="AH31" i="1"/>
  <c r="AJ31" i="1"/>
  <c r="AK31" i="1"/>
  <c r="AT30" i="1" s="1"/>
  <c r="AO31" i="1"/>
  <c r="AP31" i="1"/>
  <c r="J31" i="1" s="1"/>
  <c r="AX31" i="1"/>
  <c r="BD31" i="1"/>
  <c r="BF31" i="1"/>
  <c r="BH31" i="1"/>
  <c r="AB31" i="1" s="1"/>
  <c r="BI31" i="1"/>
  <c r="AC31" i="1" s="1"/>
  <c r="BJ31" i="1"/>
  <c r="K32" i="1"/>
  <c r="Z32" i="1"/>
  <c r="AD32" i="1"/>
  <c r="AE32" i="1"/>
  <c r="AF32" i="1"/>
  <c r="AG32" i="1"/>
  <c r="AH32" i="1"/>
  <c r="AJ32" i="1"/>
  <c r="AK32" i="1"/>
  <c r="AL32" i="1"/>
  <c r="AO32" i="1"/>
  <c r="I32" i="1" s="1"/>
  <c r="AP32" i="1"/>
  <c r="AX32" i="1" s="1"/>
  <c r="AW32" i="1"/>
  <c r="BC32" i="1"/>
  <c r="BD32" i="1"/>
  <c r="BF32" i="1"/>
  <c r="BH32" i="1"/>
  <c r="AB32" i="1" s="1"/>
  <c r="BI32" i="1"/>
  <c r="AC32" i="1" s="1"/>
  <c r="BJ32" i="1"/>
  <c r="K34" i="1"/>
  <c r="AL34" i="1" s="1"/>
  <c r="Z34" i="1"/>
  <c r="AD34" i="1"/>
  <c r="AE34" i="1"/>
  <c r="AF34" i="1"/>
  <c r="AG34" i="1"/>
  <c r="AH34" i="1"/>
  <c r="AJ34" i="1"/>
  <c r="AK34" i="1"/>
  <c r="AT33" i="1" s="1"/>
  <c r="AO34" i="1"/>
  <c r="AW34" i="1" s="1"/>
  <c r="BC34" i="1" s="1"/>
  <c r="AP34" i="1"/>
  <c r="J34" i="1" s="1"/>
  <c r="AV34" i="1"/>
  <c r="AX34" i="1"/>
  <c r="BD34" i="1"/>
  <c r="BF34" i="1"/>
  <c r="BH34" i="1"/>
  <c r="AB34" i="1" s="1"/>
  <c r="BI34" i="1"/>
  <c r="AC34" i="1" s="1"/>
  <c r="BJ34" i="1"/>
  <c r="K35" i="1"/>
  <c r="Z35" i="1"/>
  <c r="AD35" i="1"/>
  <c r="AE35" i="1"/>
  <c r="AF35" i="1"/>
  <c r="AG35" i="1"/>
  <c r="AH35" i="1"/>
  <c r="AJ35" i="1"/>
  <c r="AK35" i="1"/>
  <c r="AL35" i="1"/>
  <c r="AO35" i="1"/>
  <c r="I35" i="1" s="1"/>
  <c r="AP35" i="1"/>
  <c r="AX35" i="1" s="1"/>
  <c r="AW35" i="1"/>
  <c r="BC35" i="1"/>
  <c r="BD35" i="1"/>
  <c r="BF35" i="1"/>
  <c r="BH35" i="1"/>
  <c r="AB35" i="1" s="1"/>
  <c r="BI35" i="1"/>
  <c r="AC35" i="1" s="1"/>
  <c r="BJ35" i="1"/>
  <c r="I36" i="1"/>
  <c r="K36" i="1"/>
  <c r="AL36" i="1" s="1"/>
  <c r="Z36" i="1"/>
  <c r="AD36" i="1"/>
  <c r="AE36" i="1"/>
  <c r="AF36" i="1"/>
  <c r="AG36" i="1"/>
  <c r="AH36" i="1"/>
  <c r="AJ36" i="1"/>
  <c r="AK36" i="1"/>
  <c r="AO36" i="1"/>
  <c r="AW36" i="1" s="1"/>
  <c r="AP36" i="1"/>
  <c r="J36" i="1" s="1"/>
  <c r="AX36" i="1"/>
  <c r="AV36" i="1" s="1"/>
  <c r="BD36" i="1"/>
  <c r="BF36" i="1"/>
  <c r="BH36" i="1"/>
  <c r="AB36" i="1" s="1"/>
  <c r="BI36" i="1"/>
  <c r="AC36" i="1" s="1"/>
  <c r="BJ36" i="1"/>
  <c r="K38" i="1"/>
  <c r="K37" i="1" s="1"/>
  <c r="Z38" i="1"/>
  <c r="AD38" i="1"/>
  <c r="AE38" i="1"/>
  <c r="AF38" i="1"/>
  <c r="AG38" i="1"/>
  <c r="AH38" i="1"/>
  <c r="AJ38" i="1"/>
  <c r="AS37" i="1" s="1"/>
  <c r="AK38" i="1"/>
  <c r="AT37" i="1" s="1"/>
  <c r="AL38" i="1"/>
  <c r="AU37" i="1" s="1"/>
  <c r="AO38" i="1"/>
  <c r="I38" i="1" s="1"/>
  <c r="I37" i="1" s="1"/>
  <c r="AP38" i="1"/>
  <c r="AX38" i="1" s="1"/>
  <c r="AW38" i="1"/>
  <c r="BC38" i="1"/>
  <c r="BD38" i="1"/>
  <c r="BF38" i="1"/>
  <c r="BH38" i="1"/>
  <c r="AB38" i="1" s="1"/>
  <c r="BI38" i="1"/>
  <c r="AC38" i="1" s="1"/>
  <c r="BJ38" i="1"/>
  <c r="AT39" i="1"/>
  <c r="K40" i="1"/>
  <c r="AL40" i="1" s="1"/>
  <c r="Z40" i="1"/>
  <c r="AD40" i="1"/>
  <c r="AE40" i="1"/>
  <c r="AF40" i="1"/>
  <c r="AG40" i="1"/>
  <c r="AH40" i="1"/>
  <c r="AJ40" i="1"/>
  <c r="AK40" i="1"/>
  <c r="AO40" i="1"/>
  <c r="AW40" i="1" s="1"/>
  <c r="BC40" i="1" s="1"/>
  <c r="AP40" i="1"/>
  <c r="J40" i="1" s="1"/>
  <c r="AV40" i="1"/>
  <c r="AX40" i="1"/>
  <c r="BD40" i="1"/>
  <c r="BF40" i="1"/>
  <c r="BH40" i="1"/>
  <c r="AB40" i="1" s="1"/>
  <c r="BI40" i="1"/>
  <c r="AC40" i="1" s="1"/>
  <c r="BJ40" i="1"/>
  <c r="K41" i="1"/>
  <c r="Z41" i="1"/>
  <c r="AD41" i="1"/>
  <c r="AE41" i="1"/>
  <c r="AF41" i="1"/>
  <c r="AG41" i="1"/>
  <c r="AH41" i="1"/>
  <c r="AJ41" i="1"/>
  <c r="AK41" i="1"/>
  <c r="AL41" i="1"/>
  <c r="AO41" i="1"/>
  <c r="I41" i="1" s="1"/>
  <c r="AP41" i="1"/>
  <c r="AX41" i="1" s="1"/>
  <c r="AW41" i="1"/>
  <c r="BC41" i="1"/>
  <c r="BD41" i="1"/>
  <c r="BF41" i="1"/>
  <c r="BH41" i="1"/>
  <c r="AB41" i="1" s="1"/>
  <c r="BI41" i="1"/>
  <c r="AC41" i="1" s="1"/>
  <c r="BJ41" i="1"/>
  <c r="AT42" i="1"/>
  <c r="K43" i="1"/>
  <c r="AL43" i="1" s="1"/>
  <c r="AU42" i="1" s="1"/>
  <c r="Z43" i="1"/>
  <c r="AD43" i="1"/>
  <c r="AE43" i="1"/>
  <c r="AF43" i="1"/>
  <c r="AG43" i="1"/>
  <c r="AH43" i="1"/>
  <c r="AJ43" i="1"/>
  <c r="AS42" i="1" s="1"/>
  <c r="AK43" i="1"/>
  <c r="AO43" i="1"/>
  <c r="AW43" i="1" s="1"/>
  <c r="BC43" i="1" s="1"/>
  <c r="AP43" i="1"/>
  <c r="J43" i="1" s="1"/>
  <c r="J42" i="1" s="1"/>
  <c r="AV43" i="1"/>
  <c r="AX43" i="1"/>
  <c r="BD43" i="1"/>
  <c r="BF43" i="1"/>
  <c r="BH43" i="1"/>
  <c r="AB43" i="1" s="1"/>
  <c r="BI43" i="1"/>
  <c r="AC43" i="1" s="1"/>
  <c r="BJ43" i="1"/>
  <c r="J45" i="1"/>
  <c r="K45" i="1"/>
  <c r="Z45" i="1"/>
  <c r="AD45" i="1"/>
  <c r="AE45" i="1"/>
  <c r="AF45" i="1"/>
  <c r="AG45" i="1"/>
  <c r="AH45" i="1"/>
  <c r="AJ45" i="1"/>
  <c r="AK45" i="1"/>
  <c r="AL45" i="1"/>
  <c r="AO45" i="1"/>
  <c r="I45" i="1" s="1"/>
  <c r="AP45" i="1"/>
  <c r="AX45" i="1" s="1"/>
  <c r="AW45" i="1"/>
  <c r="AV45" i="1" s="1"/>
  <c r="BD45" i="1"/>
  <c r="BF45" i="1"/>
  <c r="BH45" i="1"/>
  <c r="AB45" i="1" s="1"/>
  <c r="BI45" i="1"/>
  <c r="AC45" i="1" s="1"/>
  <c r="BJ45" i="1"/>
  <c r="K46" i="1"/>
  <c r="AL46" i="1" s="1"/>
  <c r="Z46" i="1"/>
  <c r="AD46" i="1"/>
  <c r="AE46" i="1"/>
  <c r="AF46" i="1"/>
  <c r="AG46" i="1"/>
  <c r="AH46" i="1"/>
  <c r="AJ46" i="1"/>
  <c r="AK46" i="1"/>
  <c r="AO46" i="1"/>
  <c r="AW46" i="1" s="1"/>
  <c r="BC46" i="1" s="1"/>
  <c r="AP46" i="1"/>
  <c r="J46" i="1" s="1"/>
  <c r="AV46" i="1"/>
  <c r="AX46" i="1"/>
  <c r="BD46" i="1"/>
  <c r="BF46" i="1"/>
  <c r="BH46" i="1"/>
  <c r="AB46" i="1" s="1"/>
  <c r="BI46" i="1"/>
  <c r="AC46" i="1" s="1"/>
  <c r="BJ46" i="1"/>
  <c r="K47" i="1"/>
  <c r="Z47" i="1"/>
  <c r="AD47" i="1"/>
  <c r="AE47" i="1"/>
  <c r="AF47" i="1"/>
  <c r="AG47" i="1"/>
  <c r="AH47" i="1"/>
  <c r="AJ47" i="1"/>
  <c r="AK47" i="1"/>
  <c r="AL47" i="1"/>
  <c r="AO47" i="1"/>
  <c r="I47" i="1" s="1"/>
  <c r="AP47" i="1"/>
  <c r="AX47" i="1" s="1"/>
  <c r="AW47" i="1"/>
  <c r="AV47" i="1" s="1"/>
  <c r="BD47" i="1"/>
  <c r="BF47" i="1"/>
  <c r="BH47" i="1"/>
  <c r="AB47" i="1" s="1"/>
  <c r="BI47" i="1"/>
  <c r="AC47" i="1" s="1"/>
  <c r="BJ47" i="1"/>
  <c r="K48" i="1"/>
  <c r="AL48" i="1" s="1"/>
  <c r="Z48" i="1"/>
  <c r="AD48" i="1"/>
  <c r="AE48" i="1"/>
  <c r="AF48" i="1"/>
  <c r="AG48" i="1"/>
  <c r="AH48" i="1"/>
  <c r="AJ48" i="1"/>
  <c r="AK48" i="1"/>
  <c r="AO48" i="1"/>
  <c r="AW48" i="1" s="1"/>
  <c r="BC48" i="1" s="1"/>
  <c r="AP48" i="1"/>
  <c r="J48" i="1" s="1"/>
  <c r="AV48" i="1"/>
  <c r="AX48" i="1"/>
  <c r="BD48" i="1"/>
  <c r="BF48" i="1"/>
  <c r="BH48" i="1"/>
  <c r="AB48" i="1" s="1"/>
  <c r="BI48" i="1"/>
  <c r="AC48" i="1" s="1"/>
  <c r="BJ48" i="1"/>
  <c r="K49" i="1"/>
  <c r="Z49" i="1"/>
  <c r="AD49" i="1"/>
  <c r="AE49" i="1"/>
  <c r="AF49" i="1"/>
  <c r="AG49" i="1"/>
  <c r="AH49" i="1"/>
  <c r="AJ49" i="1"/>
  <c r="AK49" i="1"/>
  <c r="AL49" i="1"/>
  <c r="AO49" i="1"/>
  <c r="I49" i="1" s="1"/>
  <c r="AP49" i="1"/>
  <c r="AX49" i="1" s="1"/>
  <c r="AW49" i="1"/>
  <c r="BC49" i="1"/>
  <c r="BD49" i="1"/>
  <c r="BF49" i="1"/>
  <c r="BH49" i="1"/>
  <c r="AB49" i="1" s="1"/>
  <c r="BI49" i="1"/>
  <c r="AC49" i="1" s="1"/>
  <c r="BJ49" i="1"/>
  <c r="I50" i="1"/>
  <c r="K50" i="1"/>
  <c r="AL50" i="1" s="1"/>
  <c r="Z50" i="1"/>
  <c r="AD50" i="1"/>
  <c r="AE50" i="1"/>
  <c r="AF50" i="1"/>
  <c r="AG50" i="1"/>
  <c r="AH50" i="1"/>
  <c r="AJ50" i="1"/>
  <c r="AK50" i="1"/>
  <c r="AO50" i="1"/>
  <c r="AW50" i="1" s="1"/>
  <c r="AP50" i="1"/>
  <c r="J50" i="1" s="1"/>
  <c r="AX50" i="1"/>
  <c r="AV50" i="1" s="1"/>
  <c r="BD50" i="1"/>
  <c r="BF50" i="1"/>
  <c r="BH50" i="1"/>
  <c r="AB50" i="1" s="1"/>
  <c r="BI50" i="1"/>
  <c r="AC50" i="1" s="1"/>
  <c r="BJ50" i="1"/>
  <c r="J51" i="1"/>
  <c r="K51" i="1"/>
  <c r="Z51" i="1"/>
  <c r="AD51" i="1"/>
  <c r="AE51" i="1"/>
  <c r="AF51" i="1"/>
  <c r="AG51" i="1"/>
  <c r="AH51" i="1"/>
  <c r="AJ51" i="1"/>
  <c r="AK51" i="1"/>
  <c r="AL51" i="1"/>
  <c r="AO51" i="1"/>
  <c r="I51" i="1" s="1"/>
  <c r="AP51" i="1"/>
  <c r="AX51" i="1" s="1"/>
  <c r="AW51" i="1"/>
  <c r="AV51" i="1" s="1"/>
  <c r="BD51" i="1"/>
  <c r="BF51" i="1"/>
  <c r="BH51" i="1"/>
  <c r="AB51" i="1" s="1"/>
  <c r="BI51" i="1"/>
  <c r="AC51" i="1" s="1"/>
  <c r="BJ51" i="1"/>
  <c r="K52" i="1"/>
  <c r="AL52" i="1" s="1"/>
  <c r="Z52" i="1"/>
  <c r="AD52" i="1"/>
  <c r="AE52" i="1"/>
  <c r="AF52" i="1"/>
  <c r="AG52" i="1"/>
  <c r="AH52" i="1"/>
  <c r="AJ52" i="1"/>
  <c r="AK52" i="1"/>
  <c r="AO52" i="1"/>
  <c r="AW52" i="1" s="1"/>
  <c r="BC52" i="1" s="1"/>
  <c r="AP52" i="1"/>
  <c r="J52" i="1" s="1"/>
  <c r="AV52" i="1"/>
  <c r="AX52" i="1"/>
  <c r="BD52" i="1"/>
  <c r="BF52" i="1"/>
  <c r="BH52" i="1"/>
  <c r="AB52" i="1" s="1"/>
  <c r="BI52" i="1"/>
  <c r="AC52" i="1" s="1"/>
  <c r="BJ52" i="1"/>
  <c r="K53" i="1"/>
  <c r="Z53" i="1"/>
  <c r="AD53" i="1"/>
  <c r="AE53" i="1"/>
  <c r="AF53" i="1"/>
  <c r="AG53" i="1"/>
  <c r="AH53" i="1"/>
  <c r="AJ53" i="1"/>
  <c r="AK53" i="1"/>
  <c r="AL53" i="1"/>
  <c r="AO53" i="1"/>
  <c r="I53" i="1" s="1"/>
  <c r="AP53" i="1"/>
  <c r="AX53" i="1" s="1"/>
  <c r="AW53" i="1"/>
  <c r="BC53" i="1"/>
  <c r="BD53" i="1"/>
  <c r="BF53" i="1"/>
  <c r="BH53" i="1"/>
  <c r="AB53" i="1" s="1"/>
  <c r="BI53" i="1"/>
  <c r="AC53" i="1" s="1"/>
  <c r="BJ53" i="1"/>
  <c r="I54" i="1"/>
  <c r="K54" i="1"/>
  <c r="AL54" i="1" s="1"/>
  <c r="Z54" i="1"/>
  <c r="AD54" i="1"/>
  <c r="AE54" i="1"/>
  <c r="AF54" i="1"/>
  <c r="AG54" i="1"/>
  <c r="AH54" i="1"/>
  <c r="AJ54" i="1"/>
  <c r="AK54" i="1"/>
  <c r="AO54" i="1"/>
  <c r="AW54" i="1" s="1"/>
  <c r="AP54" i="1"/>
  <c r="J54" i="1" s="1"/>
  <c r="AX54" i="1"/>
  <c r="AV54" i="1" s="1"/>
  <c r="BD54" i="1"/>
  <c r="BF54" i="1"/>
  <c r="BH54" i="1"/>
  <c r="AB54" i="1" s="1"/>
  <c r="BI54" i="1"/>
  <c r="AC54" i="1" s="1"/>
  <c r="BJ54" i="1"/>
  <c r="J55" i="1"/>
  <c r="K55" i="1"/>
  <c r="Z55" i="1"/>
  <c r="AD55" i="1"/>
  <c r="AE55" i="1"/>
  <c r="AF55" i="1"/>
  <c r="AG55" i="1"/>
  <c r="AH55" i="1"/>
  <c r="AJ55" i="1"/>
  <c r="AK55" i="1"/>
  <c r="AL55" i="1"/>
  <c r="AO55" i="1"/>
  <c r="I55" i="1" s="1"/>
  <c r="AP55" i="1"/>
  <c r="AX55" i="1" s="1"/>
  <c r="AW55" i="1"/>
  <c r="AV55" i="1" s="1"/>
  <c r="BD55" i="1"/>
  <c r="BF55" i="1"/>
  <c r="BH55" i="1"/>
  <c r="AB55" i="1" s="1"/>
  <c r="BI55" i="1"/>
  <c r="AC55" i="1" s="1"/>
  <c r="BJ55" i="1"/>
  <c r="K56" i="1"/>
  <c r="AL56" i="1" s="1"/>
  <c r="Z56" i="1"/>
  <c r="AD56" i="1"/>
  <c r="AE56" i="1"/>
  <c r="AF56" i="1"/>
  <c r="AG56" i="1"/>
  <c r="AH56" i="1"/>
  <c r="AJ56" i="1"/>
  <c r="AK56" i="1"/>
  <c r="AO56" i="1"/>
  <c r="AW56" i="1" s="1"/>
  <c r="BC56" i="1" s="1"/>
  <c r="AP56" i="1"/>
  <c r="J56" i="1" s="1"/>
  <c r="AV56" i="1"/>
  <c r="AX56" i="1"/>
  <c r="BD56" i="1"/>
  <c r="BF56" i="1"/>
  <c r="BH56" i="1"/>
  <c r="AB56" i="1" s="1"/>
  <c r="BI56" i="1"/>
  <c r="AC56" i="1" s="1"/>
  <c r="BJ56" i="1"/>
  <c r="K57" i="1"/>
  <c r="Z57" i="1"/>
  <c r="AD57" i="1"/>
  <c r="AE57" i="1"/>
  <c r="AF57" i="1"/>
  <c r="AG57" i="1"/>
  <c r="AH57" i="1"/>
  <c r="AJ57" i="1"/>
  <c r="AK57" i="1"/>
  <c r="AL57" i="1"/>
  <c r="AO57" i="1"/>
  <c r="I57" i="1" s="1"/>
  <c r="AP57" i="1"/>
  <c r="AX57" i="1" s="1"/>
  <c r="AW57" i="1"/>
  <c r="BC57" i="1"/>
  <c r="BD57" i="1"/>
  <c r="BF57" i="1"/>
  <c r="BH57" i="1"/>
  <c r="AB57" i="1" s="1"/>
  <c r="BI57" i="1"/>
  <c r="AC57" i="1" s="1"/>
  <c r="BJ57" i="1"/>
  <c r="I58" i="1"/>
  <c r="K58" i="1"/>
  <c r="AL58" i="1" s="1"/>
  <c r="Z58" i="1"/>
  <c r="AD58" i="1"/>
  <c r="AE58" i="1"/>
  <c r="AF58" i="1"/>
  <c r="AG58" i="1"/>
  <c r="AH58" i="1"/>
  <c r="AJ58" i="1"/>
  <c r="AK58" i="1"/>
  <c r="AO58" i="1"/>
  <c r="AW58" i="1" s="1"/>
  <c r="BC58" i="1" s="1"/>
  <c r="AP58" i="1"/>
  <c r="J58" i="1" s="1"/>
  <c r="AV58" i="1"/>
  <c r="AX58" i="1"/>
  <c r="BD58" i="1"/>
  <c r="BF58" i="1"/>
  <c r="BH58" i="1"/>
  <c r="AB58" i="1" s="1"/>
  <c r="BI58" i="1"/>
  <c r="AC58" i="1" s="1"/>
  <c r="BJ58" i="1"/>
  <c r="K59" i="1"/>
  <c r="Z59" i="1"/>
  <c r="AD59" i="1"/>
  <c r="AE59" i="1"/>
  <c r="AF59" i="1"/>
  <c r="AG59" i="1"/>
  <c r="AH59" i="1"/>
  <c r="AJ59" i="1"/>
  <c r="AK59" i="1"/>
  <c r="AL59" i="1"/>
  <c r="AO59" i="1"/>
  <c r="I59" i="1" s="1"/>
  <c r="AP59" i="1"/>
  <c r="AW59" i="1"/>
  <c r="BD59" i="1"/>
  <c r="BF59" i="1"/>
  <c r="BH59" i="1"/>
  <c r="AB59" i="1" s="1"/>
  <c r="BI59" i="1"/>
  <c r="AC59" i="1" s="1"/>
  <c r="BJ59" i="1"/>
  <c r="I60" i="1"/>
  <c r="K60" i="1"/>
  <c r="AL60" i="1" s="1"/>
  <c r="Z60" i="1"/>
  <c r="AD60" i="1"/>
  <c r="AE60" i="1"/>
  <c r="AF60" i="1"/>
  <c r="AG60" i="1"/>
  <c r="AH60" i="1"/>
  <c r="AJ60" i="1"/>
  <c r="AK60" i="1"/>
  <c r="AO60" i="1"/>
  <c r="AW60" i="1" s="1"/>
  <c r="AP60" i="1"/>
  <c r="J60" i="1" s="1"/>
  <c r="AX60" i="1"/>
  <c r="BD60" i="1"/>
  <c r="BF60" i="1"/>
  <c r="BH60" i="1"/>
  <c r="AB60" i="1" s="1"/>
  <c r="BI60" i="1"/>
  <c r="AC60" i="1" s="1"/>
  <c r="BJ60" i="1"/>
  <c r="K61" i="1"/>
  <c r="Z61" i="1"/>
  <c r="AD61" i="1"/>
  <c r="AE61" i="1"/>
  <c r="AF61" i="1"/>
  <c r="AG61" i="1"/>
  <c r="AH61" i="1"/>
  <c r="AJ61" i="1"/>
  <c r="AK61" i="1"/>
  <c r="AL61" i="1"/>
  <c r="AO61" i="1"/>
  <c r="I61" i="1" s="1"/>
  <c r="AP61" i="1"/>
  <c r="AW61" i="1"/>
  <c r="BD61" i="1"/>
  <c r="BF61" i="1"/>
  <c r="BH61" i="1"/>
  <c r="AB61" i="1" s="1"/>
  <c r="BI61" i="1"/>
  <c r="AC61" i="1" s="1"/>
  <c r="BJ61" i="1"/>
  <c r="I62" i="1"/>
  <c r="K62" i="1"/>
  <c r="AL62" i="1" s="1"/>
  <c r="Z62" i="1"/>
  <c r="AD62" i="1"/>
  <c r="AE62" i="1"/>
  <c r="AF62" i="1"/>
  <c r="AG62" i="1"/>
  <c r="AH62" i="1"/>
  <c r="AJ62" i="1"/>
  <c r="AK62" i="1"/>
  <c r="AO62" i="1"/>
  <c r="AW62" i="1" s="1"/>
  <c r="AP62" i="1"/>
  <c r="J62" i="1" s="1"/>
  <c r="AX62" i="1"/>
  <c r="AV62" i="1" s="1"/>
  <c r="BD62" i="1"/>
  <c r="BF62" i="1"/>
  <c r="BH62" i="1"/>
  <c r="AB62" i="1" s="1"/>
  <c r="BI62" i="1"/>
  <c r="AC62" i="1" s="1"/>
  <c r="BJ62" i="1"/>
  <c r="J63" i="1"/>
  <c r="K63" i="1"/>
  <c r="Z63" i="1"/>
  <c r="AD63" i="1"/>
  <c r="AE63" i="1"/>
  <c r="AF63" i="1"/>
  <c r="AG63" i="1"/>
  <c r="AH63" i="1"/>
  <c r="AJ63" i="1"/>
  <c r="AK63" i="1"/>
  <c r="AL63" i="1"/>
  <c r="AO63" i="1"/>
  <c r="I63" i="1" s="1"/>
  <c r="AP63" i="1"/>
  <c r="AX63" i="1" s="1"/>
  <c r="AW63" i="1"/>
  <c r="BD63" i="1"/>
  <c r="BF63" i="1"/>
  <c r="BH63" i="1"/>
  <c r="AB63" i="1" s="1"/>
  <c r="BI63" i="1"/>
  <c r="AC63" i="1" s="1"/>
  <c r="BJ63" i="1"/>
  <c r="K64" i="1"/>
  <c r="AL64" i="1" s="1"/>
  <c r="Z64" i="1"/>
  <c r="AD64" i="1"/>
  <c r="AE64" i="1"/>
  <c r="AF64" i="1"/>
  <c r="AG64" i="1"/>
  <c r="AH64" i="1"/>
  <c r="AJ64" i="1"/>
  <c r="AK64" i="1"/>
  <c r="AO64" i="1"/>
  <c r="AP64" i="1"/>
  <c r="J64" i="1" s="1"/>
  <c r="AX64" i="1"/>
  <c r="BD64" i="1"/>
  <c r="BF64" i="1"/>
  <c r="BH64" i="1"/>
  <c r="AB64" i="1" s="1"/>
  <c r="BI64" i="1"/>
  <c r="AC64" i="1" s="1"/>
  <c r="BJ64" i="1"/>
  <c r="K65" i="1"/>
  <c r="Z65" i="1"/>
  <c r="AD65" i="1"/>
  <c r="AE65" i="1"/>
  <c r="AF65" i="1"/>
  <c r="AG65" i="1"/>
  <c r="AH65" i="1"/>
  <c r="AJ65" i="1"/>
  <c r="AK65" i="1"/>
  <c r="AL65" i="1"/>
  <c r="AO65" i="1"/>
  <c r="I65" i="1" s="1"/>
  <c r="AP65" i="1"/>
  <c r="AW65" i="1"/>
  <c r="BD65" i="1"/>
  <c r="BF65" i="1"/>
  <c r="BH65" i="1"/>
  <c r="AB65" i="1" s="1"/>
  <c r="BI65" i="1"/>
  <c r="AC65" i="1" s="1"/>
  <c r="BJ65" i="1"/>
  <c r="I66" i="1"/>
  <c r="K66" i="1"/>
  <c r="AL66" i="1" s="1"/>
  <c r="Z66" i="1"/>
  <c r="AD66" i="1"/>
  <c r="AE66" i="1"/>
  <c r="AF66" i="1"/>
  <c r="AG66" i="1"/>
  <c r="AH66" i="1"/>
  <c r="AJ66" i="1"/>
  <c r="AK66" i="1"/>
  <c r="AO66" i="1"/>
  <c r="AW66" i="1" s="1"/>
  <c r="AP66" i="1"/>
  <c r="J66" i="1" s="1"/>
  <c r="AX66" i="1"/>
  <c r="AV66" i="1" s="1"/>
  <c r="BD66" i="1"/>
  <c r="BF66" i="1"/>
  <c r="BH66" i="1"/>
  <c r="AB66" i="1" s="1"/>
  <c r="BI66" i="1"/>
  <c r="AC66" i="1" s="1"/>
  <c r="BJ66" i="1"/>
  <c r="J67" i="1"/>
  <c r="K67" i="1"/>
  <c r="Z67" i="1"/>
  <c r="AD67" i="1"/>
  <c r="AE67" i="1"/>
  <c r="AF67" i="1"/>
  <c r="AG67" i="1"/>
  <c r="AH67" i="1"/>
  <c r="AJ67" i="1"/>
  <c r="AK67" i="1"/>
  <c r="AL67" i="1"/>
  <c r="AO67" i="1"/>
  <c r="I67" i="1" s="1"/>
  <c r="AP67" i="1"/>
  <c r="AW67" i="1"/>
  <c r="AV67" i="1" s="1"/>
  <c r="AX67" i="1"/>
  <c r="BC67" i="1"/>
  <c r="BD67" i="1"/>
  <c r="BF67" i="1"/>
  <c r="BH67" i="1"/>
  <c r="AB67" i="1" s="1"/>
  <c r="BI67" i="1"/>
  <c r="AC67" i="1" s="1"/>
  <c r="BJ67" i="1"/>
  <c r="K68" i="1"/>
  <c r="AL68" i="1" s="1"/>
  <c r="Z68" i="1"/>
  <c r="AD68" i="1"/>
  <c r="AE68" i="1"/>
  <c r="AF68" i="1"/>
  <c r="AG68" i="1"/>
  <c r="AH68" i="1"/>
  <c r="AJ68" i="1"/>
  <c r="AK68" i="1"/>
  <c r="AO68" i="1"/>
  <c r="AP68" i="1"/>
  <c r="J68" i="1" s="1"/>
  <c r="AX68" i="1"/>
  <c r="BD68" i="1"/>
  <c r="BF68" i="1"/>
  <c r="BH68" i="1"/>
  <c r="AB68" i="1" s="1"/>
  <c r="BI68" i="1"/>
  <c r="AC68" i="1" s="1"/>
  <c r="BJ68" i="1"/>
  <c r="K69" i="1"/>
  <c r="Z69" i="1"/>
  <c r="AD69" i="1"/>
  <c r="AE69" i="1"/>
  <c r="AF69" i="1"/>
  <c r="AG69" i="1"/>
  <c r="AH69" i="1"/>
  <c r="AJ69" i="1"/>
  <c r="AK69" i="1"/>
  <c r="AL69" i="1"/>
  <c r="AO69" i="1"/>
  <c r="I69" i="1" s="1"/>
  <c r="AP69" i="1"/>
  <c r="AW69" i="1"/>
  <c r="BD69" i="1"/>
  <c r="BF69" i="1"/>
  <c r="BH69" i="1"/>
  <c r="AB69" i="1" s="1"/>
  <c r="BI69" i="1"/>
  <c r="AC69" i="1" s="1"/>
  <c r="BJ69" i="1"/>
  <c r="I70" i="1"/>
  <c r="K70" i="1"/>
  <c r="AL70" i="1" s="1"/>
  <c r="Z70" i="1"/>
  <c r="AD70" i="1"/>
  <c r="AE70" i="1"/>
  <c r="AF70" i="1"/>
  <c r="AG70" i="1"/>
  <c r="AH70" i="1"/>
  <c r="AJ70" i="1"/>
  <c r="AK70" i="1"/>
  <c r="AO70" i="1"/>
  <c r="AW70" i="1" s="1"/>
  <c r="AP70" i="1"/>
  <c r="J70" i="1" s="1"/>
  <c r="AX70" i="1"/>
  <c r="AV70" i="1" s="1"/>
  <c r="BD70" i="1"/>
  <c r="BF70" i="1"/>
  <c r="BH70" i="1"/>
  <c r="AB70" i="1" s="1"/>
  <c r="BI70" i="1"/>
  <c r="AC70" i="1" s="1"/>
  <c r="BJ70" i="1"/>
  <c r="J71" i="1"/>
  <c r="K71" i="1"/>
  <c r="Z71" i="1"/>
  <c r="AD71" i="1"/>
  <c r="AE71" i="1"/>
  <c r="AF71" i="1"/>
  <c r="AG71" i="1"/>
  <c r="AH71" i="1"/>
  <c r="AJ71" i="1"/>
  <c r="AK71" i="1"/>
  <c r="AL71" i="1"/>
  <c r="AO71" i="1"/>
  <c r="I71" i="1" s="1"/>
  <c r="AP71" i="1"/>
  <c r="AX71" i="1" s="1"/>
  <c r="AW71" i="1"/>
  <c r="BD71" i="1"/>
  <c r="BF71" i="1"/>
  <c r="BH71" i="1"/>
  <c r="AB71" i="1" s="1"/>
  <c r="BI71" i="1"/>
  <c r="AC71" i="1" s="1"/>
  <c r="BJ71" i="1"/>
  <c r="K72" i="1"/>
  <c r="AL72" i="1" s="1"/>
  <c r="Z72" i="1"/>
  <c r="AD72" i="1"/>
  <c r="AE72" i="1"/>
  <c r="AF72" i="1"/>
  <c r="AG72" i="1"/>
  <c r="AH72" i="1"/>
  <c r="AJ72" i="1"/>
  <c r="AK72" i="1"/>
  <c r="AO72" i="1"/>
  <c r="AP72" i="1"/>
  <c r="J72" i="1" s="1"/>
  <c r="AX72" i="1"/>
  <c r="BD72" i="1"/>
  <c r="BF72" i="1"/>
  <c r="BH72" i="1"/>
  <c r="AB72" i="1" s="1"/>
  <c r="BI72" i="1"/>
  <c r="AC72" i="1" s="1"/>
  <c r="BJ72" i="1"/>
  <c r="K73" i="1"/>
  <c r="Z73" i="1"/>
  <c r="AD73" i="1"/>
  <c r="AE73" i="1"/>
  <c r="AF73" i="1"/>
  <c r="AG73" i="1"/>
  <c r="AH73" i="1"/>
  <c r="AJ73" i="1"/>
  <c r="AK73" i="1"/>
  <c r="AL73" i="1"/>
  <c r="AO73" i="1"/>
  <c r="I73" i="1" s="1"/>
  <c r="AP73" i="1"/>
  <c r="AW73" i="1"/>
  <c r="BD73" i="1"/>
  <c r="BF73" i="1"/>
  <c r="BH73" i="1"/>
  <c r="AB73" i="1" s="1"/>
  <c r="BI73" i="1"/>
  <c r="AC73" i="1" s="1"/>
  <c r="BJ73" i="1"/>
  <c r="I74" i="1"/>
  <c r="K74" i="1"/>
  <c r="AL74" i="1" s="1"/>
  <c r="Z74" i="1"/>
  <c r="AD74" i="1"/>
  <c r="AE74" i="1"/>
  <c r="AF74" i="1"/>
  <c r="AG74" i="1"/>
  <c r="AH74" i="1"/>
  <c r="AJ74" i="1"/>
  <c r="AK74" i="1"/>
  <c r="AO74" i="1"/>
  <c r="AW74" i="1" s="1"/>
  <c r="AP74" i="1"/>
  <c r="J74" i="1" s="1"/>
  <c r="AX74" i="1"/>
  <c r="AV74" i="1" s="1"/>
  <c r="BD74" i="1"/>
  <c r="BF74" i="1"/>
  <c r="BH74" i="1"/>
  <c r="AB74" i="1" s="1"/>
  <c r="BI74" i="1"/>
  <c r="AC74" i="1" s="1"/>
  <c r="BJ74" i="1"/>
  <c r="J76" i="1"/>
  <c r="K76" i="1"/>
  <c r="Z76" i="1"/>
  <c r="AD76" i="1"/>
  <c r="AE76" i="1"/>
  <c r="AF76" i="1"/>
  <c r="AG76" i="1"/>
  <c r="AH76" i="1"/>
  <c r="AJ76" i="1"/>
  <c r="AK76" i="1"/>
  <c r="AL76" i="1"/>
  <c r="AO76" i="1"/>
  <c r="I76" i="1" s="1"/>
  <c r="AP76" i="1"/>
  <c r="AX76" i="1" s="1"/>
  <c r="AW76" i="1"/>
  <c r="BD76" i="1"/>
  <c r="BF76" i="1"/>
  <c r="BH76" i="1"/>
  <c r="AB76" i="1" s="1"/>
  <c r="BI76" i="1"/>
  <c r="AC76" i="1" s="1"/>
  <c r="BJ76" i="1"/>
  <c r="K77" i="1"/>
  <c r="AL77" i="1" s="1"/>
  <c r="Z77" i="1"/>
  <c r="AD77" i="1"/>
  <c r="AE77" i="1"/>
  <c r="AF77" i="1"/>
  <c r="AG77" i="1"/>
  <c r="AH77" i="1"/>
  <c r="AJ77" i="1"/>
  <c r="AK77" i="1"/>
  <c r="AO77" i="1"/>
  <c r="AP77" i="1"/>
  <c r="J77" i="1" s="1"/>
  <c r="AX77" i="1"/>
  <c r="BD77" i="1"/>
  <c r="BF77" i="1"/>
  <c r="BH77" i="1"/>
  <c r="AB77" i="1" s="1"/>
  <c r="BI77" i="1"/>
  <c r="AC77" i="1" s="1"/>
  <c r="BJ77" i="1"/>
  <c r="K78" i="1"/>
  <c r="Z78" i="1"/>
  <c r="AD78" i="1"/>
  <c r="AE78" i="1"/>
  <c r="AF78" i="1"/>
  <c r="AG78" i="1"/>
  <c r="AH78" i="1"/>
  <c r="AJ78" i="1"/>
  <c r="AK78" i="1"/>
  <c r="AL78" i="1"/>
  <c r="AO78" i="1"/>
  <c r="I78" i="1" s="1"/>
  <c r="AP78" i="1"/>
  <c r="AW78" i="1"/>
  <c r="BD78" i="1"/>
  <c r="BF78" i="1"/>
  <c r="BH78" i="1"/>
  <c r="AB78" i="1" s="1"/>
  <c r="BI78" i="1"/>
  <c r="AC78" i="1" s="1"/>
  <c r="BJ78" i="1"/>
  <c r="I79" i="1"/>
  <c r="K79" i="1"/>
  <c r="AL79" i="1" s="1"/>
  <c r="Z79" i="1"/>
  <c r="AD79" i="1"/>
  <c r="AE79" i="1"/>
  <c r="AF79" i="1"/>
  <c r="AG79" i="1"/>
  <c r="AH79" i="1"/>
  <c r="AJ79" i="1"/>
  <c r="AK79" i="1"/>
  <c r="AO79" i="1"/>
  <c r="AW79" i="1" s="1"/>
  <c r="AP79" i="1"/>
  <c r="J79" i="1" s="1"/>
  <c r="AX79" i="1"/>
  <c r="AV79" i="1" s="1"/>
  <c r="BD79" i="1"/>
  <c r="BF79" i="1"/>
  <c r="BH79" i="1"/>
  <c r="AB79" i="1" s="1"/>
  <c r="BI79" i="1"/>
  <c r="AC79" i="1" s="1"/>
  <c r="BJ79" i="1"/>
  <c r="J80" i="1"/>
  <c r="K80" i="1"/>
  <c r="Z80" i="1"/>
  <c r="AD80" i="1"/>
  <c r="AE80" i="1"/>
  <c r="AF80" i="1"/>
  <c r="AG80" i="1"/>
  <c r="AH80" i="1"/>
  <c r="AJ80" i="1"/>
  <c r="AK80" i="1"/>
  <c r="AL80" i="1"/>
  <c r="AO80" i="1"/>
  <c r="I80" i="1" s="1"/>
  <c r="AP80" i="1"/>
  <c r="AX80" i="1" s="1"/>
  <c r="AW80" i="1"/>
  <c r="BD80" i="1"/>
  <c r="BF80" i="1"/>
  <c r="BH80" i="1"/>
  <c r="AB80" i="1" s="1"/>
  <c r="BI80" i="1"/>
  <c r="AC80" i="1" s="1"/>
  <c r="BJ80" i="1"/>
  <c r="K81" i="1"/>
  <c r="AL81" i="1" s="1"/>
  <c r="Z81" i="1"/>
  <c r="AD81" i="1"/>
  <c r="AE81" i="1"/>
  <c r="AF81" i="1"/>
  <c r="AG81" i="1"/>
  <c r="AH81" i="1"/>
  <c r="AJ81" i="1"/>
  <c r="AK81" i="1"/>
  <c r="AO81" i="1"/>
  <c r="AP81" i="1"/>
  <c r="J81" i="1" s="1"/>
  <c r="AX81" i="1"/>
  <c r="BD81" i="1"/>
  <c r="BF81" i="1"/>
  <c r="BH81" i="1"/>
  <c r="AB81" i="1" s="1"/>
  <c r="BI81" i="1"/>
  <c r="AC81" i="1" s="1"/>
  <c r="BJ81" i="1"/>
  <c r="K82" i="1"/>
  <c r="Z82" i="1"/>
  <c r="AD82" i="1"/>
  <c r="AE82" i="1"/>
  <c r="AF82" i="1"/>
  <c r="AG82" i="1"/>
  <c r="AH82" i="1"/>
  <c r="AJ82" i="1"/>
  <c r="AK82" i="1"/>
  <c r="AL82" i="1"/>
  <c r="AO82" i="1"/>
  <c r="I82" i="1" s="1"/>
  <c r="AP82" i="1"/>
  <c r="AW82" i="1"/>
  <c r="BD82" i="1"/>
  <c r="BF82" i="1"/>
  <c r="BH82" i="1"/>
  <c r="AB82" i="1" s="1"/>
  <c r="BI82" i="1"/>
  <c r="AC82" i="1" s="1"/>
  <c r="BJ82" i="1"/>
  <c r="I83" i="1"/>
  <c r="K83" i="1"/>
  <c r="AL83" i="1" s="1"/>
  <c r="Z83" i="1"/>
  <c r="AD83" i="1"/>
  <c r="AE83" i="1"/>
  <c r="AF83" i="1"/>
  <c r="AG83" i="1"/>
  <c r="AH83" i="1"/>
  <c r="AJ83" i="1"/>
  <c r="AK83" i="1"/>
  <c r="AO83" i="1"/>
  <c r="AW83" i="1" s="1"/>
  <c r="AP83" i="1"/>
  <c r="J83" i="1" s="1"/>
  <c r="AX83" i="1"/>
  <c r="AV83" i="1" s="1"/>
  <c r="BD83" i="1"/>
  <c r="BF83" i="1"/>
  <c r="BH83" i="1"/>
  <c r="AB83" i="1" s="1"/>
  <c r="BI83" i="1"/>
  <c r="AC83" i="1" s="1"/>
  <c r="BJ83" i="1"/>
  <c r="J84" i="1"/>
  <c r="K84" i="1"/>
  <c r="Z84" i="1"/>
  <c r="AD84" i="1"/>
  <c r="AE84" i="1"/>
  <c r="AF84" i="1"/>
  <c r="AG84" i="1"/>
  <c r="AH84" i="1"/>
  <c r="AJ84" i="1"/>
  <c r="AK84" i="1"/>
  <c r="AL84" i="1"/>
  <c r="AO84" i="1"/>
  <c r="I84" i="1" s="1"/>
  <c r="AP84" i="1"/>
  <c r="AX84" i="1" s="1"/>
  <c r="AW84" i="1"/>
  <c r="BD84" i="1"/>
  <c r="BF84" i="1"/>
  <c r="BH84" i="1"/>
  <c r="AB84" i="1" s="1"/>
  <c r="BI84" i="1"/>
  <c r="AC84" i="1" s="1"/>
  <c r="BJ84" i="1"/>
  <c r="K85" i="1"/>
  <c r="AL85" i="1" s="1"/>
  <c r="Z85" i="1"/>
  <c r="AD85" i="1"/>
  <c r="AE85" i="1"/>
  <c r="AF85" i="1"/>
  <c r="AG85" i="1"/>
  <c r="AH85" i="1"/>
  <c r="AJ85" i="1"/>
  <c r="AK85" i="1"/>
  <c r="AO85" i="1"/>
  <c r="AP85" i="1"/>
  <c r="J85" i="1" s="1"/>
  <c r="AX85" i="1"/>
  <c r="BD85" i="1"/>
  <c r="BF85" i="1"/>
  <c r="BH85" i="1"/>
  <c r="AB85" i="1" s="1"/>
  <c r="BI85" i="1"/>
  <c r="AC85" i="1" s="1"/>
  <c r="BJ85" i="1"/>
  <c r="K86" i="1"/>
  <c r="Z86" i="1"/>
  <c r="AD86" i="1"/>
  <c r="AE86" i="1"/>
  <c r="AF86" i="1"/>
  <c r="AG86" i="1"/>
  <c r="AH86" i="1"/>
  <c r="AJ86" i="1"/>
  <c r="AK86" i="1"/>
  <c r="AL86" i="1"/>
  <c r="AO86" i="1"/>
  <c r="I86" i="1" s="1"/>
  <c r="AP86" i="1"/>
  <c r="AW86" i="1"/>
  <c r="BD86" i="1"/>
  <c r="BF86" i="1"/>
  <c r="BH86" i="1"/>
  <c r="AB86" i="1" s="1"/>
  <c r="BI86" i="1"/>
  <c r="AC86" i="1" s="1"/>
  <c r="BJ86" i="1"/>
  <c r="I87" i="1"/>
  <c r="K87" i="1"/>
  <c r="AL87" i="1" s="1"/>
  <c r="Z87" i="1"/>
  <c r="AD87" i="1"/>
  <c r="AE87" i="1"/>
  <c r="AF87" i="1"/>
  <c r="AG87" i="1"/>
  <c r="AH87" i="1"/>
  <c r="AJ87" i="1"/>
  <c r="AK87" i="1"/>
  <c r="AO87" i="1"/>
  <c r="AW87" i="1" s="1"/>
  <c r="AP87" i="1"/>
  <c r="J87" i="1" s="1"/>
  <c r="AX87" i="1"/>
  <c r="AV87" i="1" s="1"/>
  <c r="BD87" i="1"/>
  <c r="BF87" i="1"/>
  <c r="BH87" i="1"/>
  <c r="AB87" i="1" s="1"/>
  <c r="BI87" i="1"/>
  <c r="AC87" i="1" s="1"/>
  <c r="BJ87" i="1"/>
  <c r="J88" i="1"/>
  <c r="K88" i="1"/>
  <c r="Z88" i="1"/>
  <c r="AD88" i="1"/>
  <c r="AE88" i="1"/>
  <c r="AF88" i="1"/>
  <c r="AG88" i="1"/>
  <c r="AH88" i="1"/>
  <c r="AJ88" i="1"/>
  <c r="AK88" i="1"/>
  <c r="AL88" i="1"/>
  <c r="AO88" i="1"/>
  <c r="I88" i="1" s="1"/>
  <c r="AP88" i="1"/>
  <c r="AX88" i="1" s="1"/>
  <c r="AW88" i="1"/>
  <c r="BD88" i="1"/>
  <c r="BF88" i="1"/>
  <c r="BH88" i="1"/>
  <c r="AB88" i="1" s="1"/>
  <c r="BI88" i="1"/>
  <c r="AC88" i="1" s="1"/>
  <c r="BJ88" i="1"/>
  <c r="K89" i="1"/>
  <c r="AL89" i="1" s="1"/>
  <c r="Z89" i="1"/>
  <c r="AD89" i="1"/>
  <c r="AE89" i="1"/>
  <c r="AF89" i="1"/>
  <c r="AG89" i="1"/>
  <c r="AH89" i="1"/>
  <c r="AJ89" i="1"/>
  <c r="AK89" i="1"/>
  <c r="AO89" i="1"/>
  <c r="AP89" i="1"/>
  <c r="J89" i="1" s="1"/>
  <c r="AX89" i="1"/>
  <c r="BD89" i="1"/>
  <c r="BF89" i="1"/>
  <c r="BH89" i="1"/>
  <c r="AB89" i="1" s="1"/>
  <c r="BI89" i="1"/>
  <c r="AC89" i="1" s="1"/>
  <c r="BJ89" i="1"/>
  <c r="K90" i="1"/>
  <c r="Z90" i="1"/>
  <c r="AD90" i="1"/>
  <c r="AE90" i="1"/>
  <c r="AF90" i="1"/>
  <c r="AG90" i="1"/>
  <c r="AH90" i="1"/>
  <c r="AJ90" i="1"/>
  <c r="AK90" i="1"/>
  <c r="AL90" i="1"/>
  <c r="AO90" i="1"/>
  <c r="I90" i="1" s="1"/>
  <c r="AP90" i="1"/>
  <c r="AW90" i="1"/>
  <c r="BD90" i="1"/>
  <c r="BF90" i="1"/>
  <c r="BH90" i="1"/>
  <c r="AB90" i="1" s="1"/>
  <c r="BI90" i="1"/>
  <c r="AC90" i="1" s="1"/>
  <c r="BJ90" i="1"/>
  <c r="I91" i="1"/>
  <c r="K91" i="1"/>
  <c r="AL91" i="1" s="1"/>
  <c r="Z91" i="1"/>
  <c r="AD91" i="1"/>
  <c r="AE91" i="1"/>
  <c r="AF91" i="1"/>
  <c r="AG91" i="1"/>
  <c r="AH91" i="1"/>
  <c r="AJ91" i="1"/>
  <c r="AK91" i="1"/>
  <c r="AO91" i="1"/>
  <c r="AW91" i="1" s="1"/>
  <c r="AP91" i="1"/>
  <c r="J91" i="1" s="1"/>
  <c r="AX91" i="1"/>
  <c r="AV91" i="1" s="1"/>
  <c r="BD91" i="1"/>
  <c r="BF91" i="1"/>
  <c r="BH91" i="1"/>
  <c r="AB91" i="1" s="1"/>
  <c r="BI91" i="1"/>
  <c r="AC91" i="1" s="1"/>
  <c r="BJ91" i="1"/>
  <c r="J92" i="1"/>
  <c r="K92" i="1"/>
  <c r="Z92" i="1"/>
  <c r="AD92" i="1"/>
  <c r="AE92" i="1"/>
  <c r="AF92" i="1"/>
  <c r="AG92" i="1"/>
  <c r="AH92" i="1"/>
  <c r="AJ92" i="1"/>
  <c r="AK92" i="1"/>
  <c r="AL92" i="1"/>
  <c r="AO92" i="1"/>
  <c r="I92" i="1" s="1"/>
  <c r="AP92" i="1"/>
  <c r="AX92" i="1" s="1"/>
  <c r="AW92" i="1"/>
  <c r="BD92" i="1"/>
  <c r="BF92" i="1"/>
  <c r="BH92" i="1"/>
  <c r="AB92" i="1" s="1"/>
  <c r="BI92" i="1"/>
  <c r="AC92" i="1" s="1"/>
  <c r="BJ92" i="1"/>
  <c r="K93" i="1"/>
  <c r="AL93" i="1" s="1"/>
  <c r="Z93" i="1"/>
  <c r="AD93" i="1"/>
  <c r="AE93" i="1"/>
  <c r="AF93" i="1"/>
  <c r="AG93" i="1"/>
  <c r="AH93" i="1"/>
  <c r="AJ93" i="1"/>
  <c r="AK93" i="1"/>
  <c r="AO93" i="1"/>
  <c r="AP93" i="1"/>
  <c r="J93" i="1" s="1"/>
  <c r="AX93" i="1"/>
  <c r="BD93" i="1"/>
  <c r="BF93" i="1"/>
  <c r="BH93" i="1"/>
  <c r="AB93" i="1" s="1"/>
  <c r="BI93" i="1"/>
  <c r="AC93" i="1" s="1"/>
  <c r="BJ93" i="1"/>
  <c r="K94" i="1"/>
  <c r="Z94" i="1"/>
  <c r="AD94" i="1"/>
  <c r="AE94" i="1"/>
  <c r="AF94" i="1"/>
  <c r="AG94" i="1"/>
  <c r="AH94" i="1"/>
  <c r="AJ94" i="1"/>
  <c r="AK94" i="1"/>
  <c r="AL94" i="1"/>
  <c r="AO94" i="1"/>
  <c r="I94" i="1" s="1"/>
  <c r="AP94" i="1"/>
  <c r="AW94" i="1"/>
  <c r="BD94" i="1"/>
  <c r="BF94" i="1"/>
  <c r="BH94" i="1"/>
  <c r="AB94" i="1" s="1"/>
  <c r="BI94" i="1"/>
  <c r="AC94" i="1" s="1"/>
  <c r="BJ94" i="1"/>
  <c r="I95" i="1"/>
  <c r="K95" i="1"/>
  <c r="AL95" i="1" s="1"/>
  <c r="Z95" i="1"/>
  <c r="AD95" i="1"/>
  <c r="AE95" i="1"/>
  <c r="AF95" i="1"/>
  <c r="AG95" i="1"/>
  <c r="AH95" i="1"/>
  <c r="AJ95" i="1"/>
  <c r="AK95" i="1"/>
  <c r="AO95" i="1"/>
  <c r="AW95" i="1" s="1"/>
  <c r="AP95" i="1"/>
  <c r="J95" i="1" s="1"/>
  <c r="AX95" i="1"/>
  <c r="AV95" i="1" s="1"/>
  <c r="BD95" i="1"/>
  <c r="BF95" i="1"/>
  <c r="BH95" i="1"/>
  <c r="AB95" i="1" s="1"/>
  <c r="BI95" i="1"/>
  <c r="AC95" i="1" s="1"/>
  <c r="BJ95" i="1"/>
  <c r="J97" i="1"/>
  <c r="K97" i="1"/>
  <c r="Z97" i="1"/>
  <c r="AD97" i="1"/>
  <c r="AE97" i="1"/>
  <c r="AF97" i="1"/>
  <c r="AG97" i="1"/>
  <c r="AH97" i="1"/>
  <c r="AJ97" i="1"/>
  <c r="AK97" i="1"/>
  <c r="AL97" i="1"/>
  <c r="AO97" i="1"/>
  <c r="I97" i="1" s="1"/>
  <c r="AP97" i="1"/>
  <c r="AX97" i="1" s="1"/>
  <c r="AW97" i="1"/>
  <c r="BD97" i="1"/>
  <c r="BF97" i="1"/>
  <c r="BH97" i="1"/>
  <c r="AB97" i="1" s="1"/>
  <c r="BI97" i="1"/>
  <c r="AC97" i="1" s="1"/>
  <c r="BJ97" i="1"/>
  <c r="K98" i="1"/>
  <c r="AL98" i="1" s="1"/>
  <c r="Z98" i="1"/>
  <c r="AD98" i="1"/>
  <c r="AE98" i="1"/>
  <c r="AF98" i="1"/>
  <c r="AG98" i="1"/>
  <c r="AH98" i="1"/>
  <c r="AJ98" i="1"/>
  <c r="AK98" i="1"/>
  <c r="AO98" i="1"/>
  <c r="AP98" i="1"/>
  <c r="J98" i="1" s="1"/>
  <c r="AX98" i="1"/>
  <c r="BD98" i="1"/>
  <c r="BF98" i="1"/>
  <c r="BH98" i="1"/>
  <c r="AB98" i="1" s="1"/>
  <c r="BI98" i="1"/>
  <c r="AC98" i="1" s="1"/>
  <c r="BJ98" i="1"/>
  <c r="K99" i="1"/>
  <c r="Z99" i="1"/>
  <c r="AD99" i="1"/>
  <c r="AE99" i="1"/>
  <c r="AF99" i="1"/>
  <c r="AG99" i="1"/>
  <c r="AH99" i="1"/>
  <c r="AJ99" i="1"/>
  <c r="AK99" i="1"/>
  <c r="AL99" i="1"/>
  <c r="AO99" i="1"/>
  <c r="I99" i="1" s="1"/>
  <c r="AP99" i="1"/>
  <c r="AW99" i="1"/>
  <c r="BD99" i="1"/>
  <c r="BF99" i="1"/>
  <c r="BH99" i="1"/>
  <c r="AB99" i="1" s="1"/>
  <c r="BI99" i="1"/>
  <c r="AC99" i="1" s="1"/>
  <c r="BJ99" i="1"/>
  <c r="I101" i="1"/>
  <c r="K101" i="1"/>
  <c r="AL101" i="1" s="1"/>
  <c r="Z101" i="1"/>
  <c r="AD101" i="1"/>
  <c r="AE101" i="1"/>
  <c r="AF101" i="1"/>
  <c r="AG101" i="1"/>
  <c r="AH101" i="1"/>
  <c r="AJ101" i="1"/>
  <c r="AK101" i="1"/>
  <c r="AO101" i="1"/>
  <c r="AW101" i="1" s="1"/>
  <c r="AP101" i="1"/>
  <c r="J101" i="1" s="1"/>
  <c r="AX101" i="1"/>
  <c r="AV101" i="1" s="1"/>
  <c r="BD101" i="1"/>
  <c r="BF101" i="1"/>
  <c r="BH101" i="1"/>
  <c r="AB101" i="1" s="1"/>
  <c r="BI101" i="1"/>
  <c r="AC101" i="1" s="1"/>
  <c r="BJ101" i="1"/>
  <c r="J102" i="1"/>
  <c r="K102" i="1"/>
  <c r="Z102" i="1"/>
  <c r="AD102" i="1"/>
  <c r="AE102" i="1"/>
  <c r="AF102" i="1"/>
  <c r="AG102" i="1"/>
  <c r="AH102" i="1"/>
  <c r="AJ102" i="1"/>
  <c r="AK102" i="1"/>
  <c r="AL102" i="1"/>
  <c r="AO102" i="1"/>
  <c r="I102" i="1" s="1"/>
  <c r="AP102" i="1"/>
  <c r="AX102" i="1" s="1"/>
  <c r="AW102" i="1"/>
  <c r="BD102" i="1"/>
  <c r="BF102" i="1"/>
  <c r="BH102" i="1"/>
  <c r="AB102" i="1" s="1"/>
  <c r="BI102" i="1"/>
  <c r="AC102" i="1" s="1"/>
  <c r="BJ102" i="1"/>
  <c r="K104" i="1"/>
  <c r="AL104" i="1" s="1"/>
  <c r="Z104" i="1"/>
  <c r="AD104" i="1"/>
  <c r="AE104" i="1"/>
  <c r="AF104" i="1"/>
  <c r="AG104" i="1"/>
  <c r="AH104" i="1"/>
  <c r="AJ104" i="1"/>
  <c r="AK104" i="1"/>
  <c r="AO104" i="1"/>
  <c r="AP104" i="1"/>
  <c r="J104" i="1" s="1"/>
  <c r="AX104" i="1"/>
  <c r="BD104" i="1"/>
  <c r="BF104" i="1"/>
  <c r="BH104" i="1"/>
  <c r="AB104" i="1" s="1"/>
  <c r="BI104" i="1"/>
  <c r="AC104" i="1" s="1"/>
  <c r="BJ104" i="1"/>
  <c r="J107" i="1"/>
  <c r="K107" i="1"/>
  <c r="Z107" i="1"/>
  <c r="AD107" i="1"/>
  <c r="AE107" i="1"/>
  <c r="AF107" i="1"/>
  <c r="AG107" i="1"/>
  <c r="AH107" i="1"/>
  <c r="AJ107" i="1"/>
  <c r="AK107" i="1"/>
  <c r="AL107" i="1"/>
  <c r="AO107" i="1"/>
  <c r="I107" i="1" s="1"/>
  <c r="AP107" i="1"/>
  <c r="AX107" i="1" s="1"/>
  <c r="AW107" i="1"/>
  <c r="BD107" i="1"/>
  <c r="BF107" i="1"/>
  <c r="BH107" i="1"/>
  <c r="AB107" i="1" s="1"/>
  <c r="BI107" i="1"/>
  <c r="AC107" i="1" s="1"/>
  <c r="BJ107" i="1"/>
  <c r="K108" i="1"/>
  <c r="AL108" i="1" s="1"/>
  <c r="Z108" i="1"/>
  <c r="AD108" i="1"/>
  <c r="AE108" i="1"/>
  <c r="AF108" i="1"/>
  <c r="AG108" i="1"/>
  <c r="AH108" i="1"/>
  <c r="AJ108" i="1"/>
  <c r="AK108" i="1"/>
  <c r="AO108" i="1"/>
  <c r="AP108" i="1"/>
  <c r="J108" i="1" s="1"/>
  <c r="AX108" i="1"/>
  <c r="BD108" i="1"/>
  <c r="BF108" i="1"/>
  <c r="BH108" i="1"/>
  <c r="AB108" i="1" s="1"/>
  <c r="BI108" i="1"/>
  <c r="AC108" i="1" s="1"/>
  <c r="BJ108" i="1"/>
  <c r="K109" i="1"/>
  <c r="Z109" i="1"/>
  <c r="AD109" i="1"/>
  <c r="AE109" i="1"/>
  <c r="AF109" i="1"/>
  <c r="AG109" i="1"/>
  <c r="AH109" i="1"/>
  <c r="AJ109" i="1"/>
  <c r="AS106" i="1" s="1"/>
  <c r="AK109" i="1"/>
  <c r="AL109" i="1"/>
  <c r="AO109" i="1"/>
  <c r="I109" i="1" s="1"/>
  <c r="AP109" i="1"/>
  <c r="AW109" i="1"/>
  <c r="BD109" i="1"/>
  <c r="BF109" i="1"/>
  <c r="BH109" i="1"/>
  <c r="AB109" i="1" s="1"/>
  <c r="BI109" i="1"/>
  <c r="AC109" i="1" s="1"/>
  <c r="BJ109" i="1"/>
  <c r="I110" i="1"/>
  <c r="K110" i="1"/>
  <c r="AL110" i="1" s="1"/>
  <c r="Z110" i="1"/>
  <c r="AD110" i="1"/>
  <c r="AE110" i="1"/>
  <c r="AF110" i="1"/>
  <c r="AG110" i="1"/>
  <c r="AH110" i="1"/>
  <c r="AJ110" i="1"/>
  <c r="AK110" i="1"/>
  <c r="AO110" i="1"/>
  <c r="AW110" i="1" s="1"/>
  <c r="AP110" i="1"/>
  <c r="J110" i="1" s="1"/>
  <c r="AX110" i="1"/>
  <c r="AV110" i="1" s="1"/>
  <c r="BD110" i="1"/>
  <c r="BF110" i="1"/>
  <c r="BH110" i="1"/>
  <c r="AB110" i="1" s="1"/>
  <c r="BI110" i="1"/>
  <c r="AC110" i="1" s="1"/>
  <c r="BJ110" i="1"/>
  <c r="J111" i="1"/>
  <c r="K111" i="1"/>
  <c r="Z111" i="1"/>
  <c r="AD111" i="1"/>
  <c r="AE111" i="1"/>
  <c r="AF111" i="1"/>
  <c r="AG111" i="1"/>
  <c r="AH111" i="1"/>
  <c r="AJ111" i="1"/>
  <c r="AK111" i="1"/>
  <c r="AL111" i="1"/>
  <c r="AO111" i="1"/>
  <c r="I111" i="1" s="1"/>
  <c r="AP111" i="1"/>
  <c r="AX111" i="1" s="1"/>
  <c r="AW111" i="1"/>
  <c r="BD111" i="1"/>
  <c r="BF111" i="1"/>
  <c r="BH111" i="1"/>
  <c r="AB111" i="1" s="1"/>
  <c r="BI111" i="1"/>
  <c r="AC111" i="1" s="1"/>
  <c r="BJ111" i="1"/>
  <c r="K112" i="1"/>
  <c r="AL112" i="1" s="1"/>
  <c r="Z112" i="1"/>
  <c r="AD112" i="1"/>
  <c r="AE112" i="1"/>
  <c r="AF112" i="1"/>
  <c r="AG112" i="1"/>
  <c r="AH112" i="1"/>
  <c r="AJ112" i="1"/>
  <c r="AK112" i="1"/>
  <c r="AO112" i="1"/>
  <c r="AP112" i="1"/>
  <c r="J112" i="1" s="1"/>
  <c r="AX112" i="1"/>
  <c r="BD112" i="1"/>
  <c r="BF112" i="1"/>
  <c r="BH112" i="1"/>
  <c r="AB112" i="1" s="1"/>
  <c r="BI112" i="1"/>
  <c r="AC112" i="1" s="1"/>
  <c r="BJ112" i="1"/>
  <c r="AS113" i="1"/>
  <c r="K114" i="1"/>
  <c r="K113" i="1" s="1"/>
  <c r="Z114" i="1"/>
  <c r="AB114" i="1"/>
  <c r="AC114" i="1"/>
  <c r="AD114" i="1"/>
  <c r="AE114" i="1"/>
  <c r="AF114" i="1"/>
  <c r="AG114" i="1"/>
  <c r="AH114" i="1"/>
  <c r="AJ114" i="1"/>
  <c r="AK114" i="1"/>
  <c r="AT113" i="1" s="1"/>
  <c r="AL114" i="1"/>
  <c r="AU113" i="1" s="1"/>
  <c r="AO114" i="1"/>
  <c r="I114" i="1" s="1"/>
  <c r="I113" i="1" s="1"/>
  <c r="AP114" i="1"/>
  <c r="AX114" i="1" s="1"/>
  <c r="AW114" i="1"/>
  <c r="BC114" i="1"/>
  <c r="BD114" i="1"/>
  <c r="BF114" i="1"/>
  <c r="BH114" i="1"/>
  <c r="BI114" i="1"/>
  <c r="BJ114" i="1"/>
  <c r="AT115" i="1"/>
  <c r="K116" i="1"/>
  <c r="AB116" i="1"/>
  <c r="AC116" i="1"/>
  <c r="AD116" i="1"/>
  <c r="AE116" i="1"/>
  <c r="AF116" i="1"/>
  <c r="AG116" i="1"/>
  <c r="AH116" i="1"/>
  <c r="AJ116" i="1"/>
  <c r="AS115" i="1" s="1"/>
  <c r="AK116" i="1"/>
  <c r="AO116" i="1"/>
  <c r="AP116" i="1"/>
  <c r="J116" i="1" s="1"/>
  <c r="J115" i="1" s="1"/>
  <c r="AX116" i="1"/>
  <c r="BD116" i="1"/>
  <c r="BF116" i="1"/>
  <c r="BH116" i="1"/>
  <c r="BI116" i="1"/>
  <c r="BJ116" i="1"/>
  <c r="Z116" i="1" s="1"/>
  <c r="K118" i="1"/>
  <c r="Z118" i="1"/>
  <c r="AB118" i="1"/>
  <c r="AC118" i="1"/>
  <c r="AD118" i="1"/>
  <c r="AE118" i="1"/>
  <c r="AF118" i="1"/>
  <c r="AG118" i="1"/>
  <c r="AH118" i="1"/>
  <c r="AJ118" i="1"/>
  <c r="AK118" i="1"/>
  <c r="AL118" i="1"/>
  <c r="AO118" i="1"/>
  <c r="I118" i="1" s="1"/>
  <c r="AP118" i="1"/>
  <c r="AX118" i="1" s="1"/>
  <c r="AW118" i="1"/>
  <c r="BC118" i="1"/>
  <c r="BD118" i="1"/>
  <c r="BF118" i="1"/>
  <c r="BH118" i="1"/>
  <c r="BI118" i="1"/>
  <c r="BJ118" i="1"/>
  <c r="I119" i="1"/>
  <c r="K119" i="1"/>
  <c r="AL119" i="1" s="1"/>
  <c r="AB119" i="1"/>
  <c r="AC119" i="1"/>
  <c r="AD119" i="1"/>
  <c r="AE119" i="1"/>
  <c r="AF119" i="1"/>
  <c r="AG119" i="1"/>
  <c r="AH119" i="1"/>
  <c r="AJ119" i="1"/>
  <c r="AK119" i="1"/>
  <c r="AO119" i="1"/>
  <c r="AW119" i="1" s="1"/>
  <c r="AP119" i="1"/>
  <c r="J119" i="1" s="1"/>
  <c r="AX119" i="1"/>
  <c r="AV119" i="1" s="1"/>
  <c r="BD119" i="1"/>
  <c r="BF119" i="1"/>
  <c r="BH119" i="1"/>
  <c r="BI119" i="1"/>
  <c r="BJ119" i="1"/>
  <c r="Z119" i="1" s="1"/>
  <c r="K120" i="1"/>
  <c r="Z120" i="1"/>
  <c r="AB120" i="1"/>
  <c r="AC120" i="1"/>
  <c r="AD120" i="1"/>
  <c r="AE120" i="1"/>
  <c r="AF120" i="1"/>
  <c r="AG120" i="1"/>
  <c r="AH120" i="1"/>
  <c r="AJ120" i="1"/>
  <c r="AS117" i="1" s="1"/>
  <c r="AK120" i="1"/>
  <c r="AL120" i="1"/>
  <c r="AO120" i="1"/>
  <c r="I120" i="1" s="1"/>
  <c r="AP120" i="1"/>
  <c r="AX120" i="1" s="1"/>
  <c r="AW120" i="1"/>
  <c r="BC120" i="1"/>
  <c r="BD120" i="1"/>
  <c r="BF120" i="1"/>
  <c r="BH120" i="1"/>
  <c r="BI120" i="1"/>
  <c r="BJ120" i="1"/>
  <c r="I121" i="1"/>
  <c r="K121" i="1"/>
  <c r="AL121" i="1" s="1"/>
  <c r="AB121" i="1"/>
  <c r="AC121" i="1"/>
  <c r="AD121" i="1"/>
  <c r="AE121" i="1"/>
  <c r="AF121" i="1"/>
  <c r="AG121" i="1"/>
  <c r="AH121" i="1"/>
  <c r="AJ121" i="1"/>
  <c r="AK121" i="1"/>
  <c r="AO121" i="1"/>
  <c r="AW121" i="1" s="1"/>
  <c r="AP121" i="1"/>
  <c r="J121" i="1" s="1"/>
  <c r="AX121" i="1"/>
  <c r="AV121" i="1" s="1"/>
  <c r="BD121" i="1"/>
  <c r="BF121" i="1"/>
  <c r="BH121" i="1"/>
  <c r="BI121" i="1"/>
  <c r="BJ121" i="1"/>
  <c r="Z121" i="1" s="1"/>
  <c r="K122" i="1"/>
  <c r="Z122" i="1"/>
  <c r="AB122" i="1"/>
  <c r="AC122" i="1"/>
  <c r="AD122" i="1"/>
  <c r="AE122" i="1"/>
  <c r="AF122" i="1"/>
  <c r="AG122" i="1"/>
  <c r="AH122" i="1"/>
  <c r="AJ122" i="1"/>
  <c r="AK122" i="1"/>
  <c r="AL122" i="1"/>
  <c r="AO122" i="1"/>
  <c r="I122" i="1" s="1"/>
  <c r="AP122" i="1"/>
  <c r="AX122" i="1" s="1"/>
  <c r="AW122" i="1"/>
  <c r="BC122" i="1"/>
  <c r="BD122" i="1"/>
  <c r="BF122" i="1"/>
  <c r="BH122" i="1"/>
  <c r="BI122" i="1"/>
  <c r="BJ122" i="1"/>
  <c r="I123" i="1"/>
  <c r="K123" i="1"/>
  <c r="AL123" i="1" s="1"/>
  <c r="AB123" i="1"/>
  <c r="AC123" i="1"/>
  <c r="AD123" i="1"/>
  <c r="AE123" i="1"/>
  <c r="AF123" i="1"/>
  <c r="AG123" i="1"/>
  <c r="AH123" i="1"/>
  <c r="AJ123" i="1"/>
  <c r="AK123" i="1"/>
  <c r="AO123" i="1"/>
  <c r="AW123" i="1" s="1"/>
  <c r="AP123" i="1"/>
  <c r="J123" i="1" s="1"/>
  <c r="AX123" i="1"/>
  <c r="AV123" i="1" s="1"/>
  <c r="BD123" i="1"/>
  <c r="BF123" i="1"/>
  <c r="BH123" i="1"/>
  <c r="BI123" i="1"/>
  <c r="BJ123" i="1"/>
  <c r="Z123" i="1" s="1"/>
  <c r="K124" i="1"/>
  <c r="Z124" i="1"/>
  <c r="AB124" i="1"/>
  <c r="AC124" i="1"/>
  <c r="AD124" i="1"/>
  <c r="AE124" i="1"/>
  <c r="AF124" i="1"/>
  <c r="AG124" i="1"/>
  <c r="AH124" i="1"/>
  <c r="AJ124" i="1"/>
  <c r="AK124" i="1"/>
  <c r="AL124" i="1"/>
  <c r="AO124" i="1"/>
  <c r="I124" i="1" s="1"/>
  <c r="AP124" i="1"/>
  <c r="AX124" i="1" s="1"/>
  <c r="AW124" i="1"/>
  <c r="BC124" i="1"/>
  <c r="BD124" i="1"/>
  <c r="BF124" i="1"/>
  <c r="BH124" i="1"/>
  <c r="BI124" i="1"/>
  <c r="BJ124" i="1"/>
  <c r="I125" i="1"/>
  <c r="K125" i="1"/>
  <c r="AL125" i="1" s="1"/>
  <c r="AB125" i="1"/>
  <c r="AC125" i="1"/>
  <c r="AD125" i="1"/>
  <c r="AE125" i="1"/>
  <c r="AF125" i="1"/>
  <c r="AG125" i="1"/>
  <c r="AH125" i="1"/>
  <c r="AJ125" i="1"/>
  <c r="AK125" i="1"/>
  <c r="AO125" i="1"/>
  <c r="AW125" i="1" s="1"/>
  <c r="AP125" i="1"/>
  <c r="J125" i="1" s="1"/>
  <c r="AX125" i="1"/>
  <c r="AV125" i="1" s="1"/>
  <c r="BD125" i="1"/>
  <c r="BF125" i="1"/>
  <c r="BH125" i="1"/>
  <c r="BI125" i="1"/>
  <c r="BJ125" i="1"/>
  <c r="Z125" i="1" s="1"/>
  <c r="K126" i="1"/>
  <c r="Z126" i="1"/>
  <c r="AB126" i="1"/>
  <c r="AC126" i="1"/>
  <c r="AD126" i="1"/>
  <c r="AE126" i="1"/>
  <c r="AF126" i="1"/>
  <c r="AG126" i="1"/>
  <c r="AH126" i="1"/>
  <c r="AJ126" i="1"/>
  <c r="AK126" i="1"/>
  <c r="AL126" i="1"/>
  <c r="AO126" i="1"/>
  <c r="I126" i="1" s="1"/>
  <c r="AP126" i="1"/>
  <c r="AX126" i="1" s="1"/>
  <c r="AW126" i="1"/>
  <c r="BC126" i="1"/>
  <c r="BD126" i="1"/>
  <c r="BF126" i="1"/>
  <c r="BH126" i="1"/>
  <c r="BI126" i="1"/>
  <c r="BJ126" i="1"/>
  <c r="I127" i="1"/>
  <c r="K127" i="1"/>
  <c r="AL127" i="1" s="1"/>
  <c r="AB127" i="1"/>
  <c r="AC127" i="1"/>
  <c r="AD127" i="1"/>
  <c r="AE127" i="1"/>
  <c r="AF127" i="1"/>
  <c r="AG127" i="1"/>
  <c r="AH127" i="1"/>
  <c r="AJ127" i="1"/>
  <c r="AK127" i="1"/>
  <c r="AO127" i="1"/>
  <c r="AW127" i="1" s="1"/>
  <c r="AP127" i="1"/>
  <c r="J127" i="1" s="1"/>
  <c r="AX127" i="1"/>
  <c r="AV127" i="1" s="1"/>
  <c r="BD127" i="1"/>
  <c r="BF127" i="1"/>
  <c r="BH127" i="1"/>
  <c r="BI127" i="1"/>
  <c r="BJ127" i="1"/>
  <c r="Z127" i="1" s="1"/>
  <c r="K128" i="1"/>
  <c r="Z128" i="1"/>
  <c r="AB128" i="1"/>
  <c r="AC128" i="1"/>
  <c r="AD128" i="1"/>
  <c r="AE128" i="1"/>
  <c r="AF128" i="1"/>
  <c r="AG128" i="1"/>
  <c r="AH128" i="1"/>
  <c r="AJ128" i="1"/>
  <c r="AK128" i="1"/>
  <c r="AL128" i="1"/>
  <c r="AO128" i="1"/>
  <c r="I128" i="1" s="1"/>
  <c r="AP128" i="1"/>
  <c r="AX128" i="1" s="1"/>
  <c r="AW128" i="1"/>
  <c r="BC128" i="1"/>
  <c r="BD128" i="1"/>
  <c r="BF128" i="1"/>
  <c r="BH128" i="1"/>
  <c r="BI128" i="1"/>
  <c r="BJ128" i="1"/>
  <c r="I129" i="1"/>
  <c r="K129" i="1"/>
  <c r="AL129" i="1" s="1"/>
  <c r="AB129" i="1"/>
  <c r="AC129" i="1"/>
  <c r="AD129" i="1"/>
  <c r="AE129" i="1"/>
  <c r="AF129" i="1"/>
  <c r="AG129" i="1"/>
  <c r="AH129" i="1"/>
  <c r="AJ129" i="1"/>
  <c r="AK129" i="1"/>
  <c r="AO129" i="1"/>
  <c r="AW129" i="1" s="1"/>
  <c r="AP129" i="1"/>
  <c r="J129" i="1" s="1"/>
  <c r="AX129" i="1"/>
  <c r="AV129" i="1" s="1"/>
  <c r="BD129" i="1"/>
  <c r="BF129" i="1"/>
  <c r="BH129" i="1"/>
  <c r="BI129" i="1"/>
  <c r="BJ129" i="1"/>
  <c r="Z129" i="1" s="1"/>
  <c r="K130" i="1"/>
  <c r="Z130" i="1"/>
  <c r="AB130" i="1"/>
  <c r="AC130" i="1"/>
  <c r="AD130" i="1"/>
  <c r="AE130" i="1"/>
  <c r="AF130" i="1"/>
  <c r="AG130" i="1"/>
  <c r="AH130" i="1"/>
  <c r="AJ130" i="1"/>
  <c r="AK130" i="1"/>
  <c r="AL130" i="1"/>
  <c r="AO130" i="1"/>
  <c r="I130" i="1" s="1"/>
  <c r="AP130" i="1"/>
  <c r="AX130" i="1" s="1"/>
  <c r="AW130" i="1"/>
  <c r="BC130" i="1"/>
  <c r="BD130" i="1"/>
  <c r="BF130" i="1"/>
  <c r="BH130" i="1"/>
  <c r="BI130" i="1"/>
  <c r="BJ130" i="1"/>
  <c r="I131" i="1"/>
  <c r="K131" i="1"/>
  <c r="AL131" i="1" s="1"/>
  <c r="AB131" i="1"/>
  <c r="AC131" i="1"/>
  <c r="AD131" i="1"/>
  <c r="AE131" i="1"/>
  <c r="AF131" i="1"/>
  <c r="AG131" i="1"/>
  <c r="AH131" i="1"/>
  <c r="AJ131" i="1"/>
  <c r="AK131" i="1"/>
  <c r="AO131" i="1"/>
  <c r="AW131" i="1" s="1"/>
  <c r="AP131" i="1"/>
  <c r="J131" i="1" s="1"/>
  <c r="AX131" i="1"/>
  <c r="AV131" i="1" s="1"/>
  <c r="BD131" i="1"/>
  <c r="BF131" i="1"/>
  <c r="BH131" i="1"/>
  <c r="BI131" i="1"/>
  <c r="BJ131" i="1"/>
  <c r="Z131" i="1" s="1"/>
  <c r="K132" i="1"/>
  <c r="Z132" i="1"/>
  <c r="AB132" i="1"/>
  <c r="AC132" i="1"/>
  <c r="AD132" i="1"/>
  <c r="AE132" i="1"/>
  <c r="AF132" i="1"/>
  <c r="AG132" i="1"/>
  <c r="AH132" i="1"/>
  <c r="AJ132" i="1"/>
  <c r="AK132" i="1"/>
  <c r="AL132" i="1"/>
  <c r="AO132" i="1"/>
  <c r="I132" i="1" s="1"/>
  <c r="AP132" i="1"/>
  <c r="AX132" i="1" s="1"/>
  <c r="AW132" i="1"/>
  <c r="BC132" i="1"/>
  <c r="BD132" i="1"/>
  <c r="BF132" i="1"/>
  <c r="BH132" i="1"/>
  <c r="BI132" i="1"/>
  <c r="BJ132" i="1"/>
  <c r="I133" i="1"/>
  <c r="K133" i="1"/>
  <c r="AL133" i="1" s="1"/>
  <c r="AB133" i="1"/>
  <c r="AC133" i="1"/>
  <c r="AD133" i="1"/>
  <c r="AE133" i="1"/>
  <c r="AF133" i="1"/>
  <c r="AG133" i="1"/>
  <c r="AH133" i="1"/>
  <c r="AJ133" i="1"/>
  <c r="AK133" i="1"/>
  <c r="AO133" i="1"/>
  <c r="AW133" i="1" s="1"/>
  <c r="AP133" i="1"/>
  <c r="J133" i="1" s="1"/>
  <c r="AX133" i="1"/>
  <c r="AV133" i="1" s="1"/>
  <c r="BD133" i="1"/>
  <c r="BF133" i="1"/>
  <c r="BH133" i="1"/>
  <c r="BI133" i="1"/>
  <c r="BJ133" i="1"/>
  <c r="Z133" i="1" s="1"/>
  <c r="K134" i="1"/>
  <c r="Z134" i="1"/>
  <c r="AB134" i="1"/>
  <c r="AC134" i="1"/>
  <c r="AD134" i="1"/>
  <c r="AE134" i="1"/>
  <c r="AF134" i="1"/>
  <c r="AG134" i="1"/>
  <c r="AH134" i="1"/>
  <c r="AJ134" i="1"/>
  <c r="AK134" i="1"/>
  <c r="AL134" i="1"/>
  <c r="AO134" i="1"/>
  <c r="I134" i="1" s="1"/>
  <c r="AP134" i="1"/>
  <c r="AX134" i="1" s="1"/>
  <c r="AW134" i="1"/>
  <c r="BC134" i="1"/>
  <c r="BD134" i="1"/>
  <c r="BF134" i="1"/>
  <c r="BH134" i="1"/>
  <c r="BI134" i="1"/>
  <c r="BJ134" i="1"/>
  <c r="I135" i="1"/>
  <c r="K135" i="1"/>
  <c r="AL135" i="1" s="1"/>
  <c r="AB135" i="1"/>
  <c r="AC135" i="1"/>
  <c r="AD135" i="1"/>
  <c r="AE135" i="1"/>
  <c r="AF135" i="1"/>
  <c r="AG135" i="1"/>
  <c r="AH135" i="1"/>
  <c r="AJ135" i="1"/>
  <c r="AK135" i="1"/>
  <c r="AO135" i="1"/>
  <c r="AW135" i="1" s="1"/>
  <c r="AP135" i="1"/>
  <c r="J135" i="1" s="1"/>
  <c r="AX135" i="1"/>
  <c r="AV135" i="1" s="1"/>
  <c r="BD135" i="1"/>
  <c r="BF135" i="1"/>
  <c r="BH135" i="1"/>
  <c r="BI135" i="1"/>
  <c r="BJ135" i="1"/>
  <c r="Z135" i="1" s="1"/>
  <c r="K136" i="1"/>
  <c r="Z136" i="1"/>
  <c r="AB136" i="1"/>
  <c r="AC136" i="1"/>
  <c r="AD136" i="1"/>
  <c r="AE136" i="1"/>
  <c r="AF136" i="1"/>
  <c r="AG136" i="1"/>
  <c r="AH136" i="1"/>
  <c r="AJ136" i="1"/>
  <c r="AK136" i="1"/>
  <c r="AL136" i="1"/>
  <c r="AO136" i="1"/>
  <c r="I136" i="1" s="1"/>
  <c r="AP136" i="1"/>
  <c r="AX136" i="1" s="1"/>
  <c r="AW136" i="1"/>
  <c r="BC136" i="1"/>
  <c r="BD136" i="1"/>
  <c r="BF136" i="1"/>
  <c r="BH136" i="1"/>
  <c r="BI136" i="1"/>
  <c r="BJ136" i="1"/>
  <c r="I137" i="1"/>
  <c r="K137" i="1"/>
  <c r="AL137" i="1" s="1"/>
  <c r="AB137" i="1"/>
  <c r="AC137" i="1"/>
  <c r="AD137" i="1"/>
  <c r="AE137" i="1"/>
  <c r="AF137" i="1"/>
  <c r="AG137" i="1"/>
  <c r="AH137" i="1"/>
  <c r="AJ137" i="1"/>
  <c r="AK137" i="1"/>
  <c r="AO137" i="1"/>
  <c r="AW137" i="1" s="1"/>
  <c r="AP137" i="1"/>
  <c r="J137" i="1" s="1"/>
  <c r="AX137" i="1"/>
  <c r="AV137" i="1" s="1"/>
  <c r="BD137" i="1"/>
  <c r="BF137" i="1"/>
  <c r="BH137" i="1"/>
  <c r="BI137" i="1"/>
  <c r="BJ137" i="1"/>
  <c r="Z137" i="1" s="1"/>
  <c r="K138" i="1"/>
  <c r="Z138" i="1"/>
  <c r="AB138" i="1"/>
  <c r="AC138" i="1"/>
  <c r="AD138" i="1"/>
  <c r="AE138" i="1"/>
  <c r="AF138" i="1"/>
  <c r="AG138" i="1"/>
  <c r="AH138" i="1"/>
  <c r="AJ138" i="1"/>
  <c r="AK138" i="1"/>
  <c r="AL138" i="1"/>
  <c r="AO138" i="1"/>
  <c r="I138" i="1" s="1"/>
  <c r="AP138" i="1"/>
  <c r="AX138" i="1" s="1"/>
  <c r="AW138" i="1"/>
  <c r="BC138" i="1"/>
  <c r="BD138" i="1"/>
  <c r="BF138" i="1"/>
  <c r="BH138" i="1"/>
  <c r="BI138" i="1"/>
  <c r="BJ138" i="1"/>
  <c r="I139" i="1"/>
  <c r="K139" i="1"/>
  <c r="AL139" i="1" s="1"/>
  <c r="AB139" i="1"/>
  <c r="AC139" i="1"/>
  <c r="AD139" i="1"/>
  <c r="AE139" i="1"/>
  <c r="AF139" i="1"/>
  <c r="AG139" i="1"/>
  <c r="AH139" i="1"/>
  <c r="AJ139" i="1"/>
  <c r="AK139" i="1"/>
  <c r="AO139" i="1"/>
  <c r="AW139" i="1" s="1"/>
  <c r="AP139" i="1"/>
  <c r="J139" i="1" s="1"/>
  <c r="AX139" i="1"/>
  <c r="AV139" i="1" s="1"/>
  <c r="BD139" i="1"/>
  <c r="BF139" i="1"/>
  <c r="BH139" i="1"/>
  <c r="BI139" i="1"/>
  <c r="BJ139" i="1"/>
  <c r="Z139" i="1" s="1"/>
  <c r="K141" i="1"/>
  <c r="K140" i="1" s="1"/>
  <c r="G25" i="2" s="1"/>
  <c r="I25" i="2" s="1"/>
  <c r="Z141" i="1"/>
  <c r="AB141" i="1"/>
  <c r="AC141" i="1"/>
  <c r="AF141" i="1"/>
  <c r="AG141" i="1"/>
  <c r="AH141" i="1"/>
  <c r="AJ141" i="1"/>
  <c r="AS140" i="1" s="1"/>
  <c r="AK141" i="1"/>
  <c r="AL141" i="1"/>
  <c r="AU140" i="1" s="1"/>
  <c r="AO141" i="1"/>
  <c r="I141" i="1" s="1"/>
  <c r="AP141" i="1"/>
  <c r="AW141" i="1"/>
  <c r="BD141" i="1"/>
  <c r="BF141" i="1"/>
  <c r="BH141" i="1"/>
  <c r="AD141" i="1" s="1"/>
  <c r="BI141" i="1"/>
  <c r="AE141" i="1" s="1"/>
  <c r="BJ141" i="1"/>
  <c r="I142" i="1"/>
  <c r="K142" i="1"/>
  <c r="AL142" i="1" s="1"/>
  <c r="Z142" i="1"/>
  <c r="AB142" i="1"/>
  <c r="AC142" i="1"/>
  <c r="AF142" i="1"/>
  <c r="AG142" i="1"/>
  <c r="AH142" i="1"/>
  <c r="AJ142" i="1"/>
  <c r="AK142" i="1"/>
  <c r="AO142" i="1"/>
  <c r="AW142" i="1" s="1"/>
  <c r="AP142" i="1"/>
  <c r="J142" i="1" s="1"/>
  <c r="AX142" i="1"/>
  <c r="AV142" i="1" s="1"/>
  <c r="BD142" i="1"/>
  <c r="BF142" i="1"/>
  <c r="BH142" i="1"/>
  <c r="AD142" i="1" s="1"/>
  <c r="BI142" i="1"/>
  <c r="AE142" i="1" s="1"/>
  <c r="BJ142" i="1"/>
  <c r="K144" i="1"/>
  <c r="K143" i="1" s="1"/>
  <c r="G26" i="2" s="1"/>
  <c r="I26" i="2" s="1"/>
  <c r="Z144" i="1"/>
  <c r="AB144" i="1"/>
  <c r="AC144" i="1"/>
  <c r="AF144" i="1"/>
  <c r="AG144" i="1"/>
  <c r="AH144" i="1"/>
  <c r="AJ144" i="1"/>
  <c r="AS143" i="1" s="1"/>
  <c r="AK144" i="1"/>
  <c r="AT143" i="1" s="1"/>
  <c r="AL144" i="1"/>
  <c r="AU143" i="1" s="1"/>
  <c r="AO144" i="1"/>
  <c r="I144" i="1" s="1"/>
  <c r="I143" i="1" s="1"/>
  <c r="AP144" i="1"/>
  <c r="AW144" i="1"/>
  <c r="BD144" i="1"/>
  <c r="BF144" i="1"/>
  <c r="BH144" i="1"/>
  <c r="AD144" i="1" s="1"/>
  <c r="BI144" i="1"/>
  <c r="AE144" i="1" s="1"/>
  <c r="BJ144" i="1"/>
  <c r="AT145" i="1"/>
  <c r="K146" i="1"/>
  <c r="Z146" i="1"/>
  <c r="AB146" i="1"/>
  <c r="AC146" i="1"/>
  <c r="AF146" i="1"/>
  <c r="AG146" i="1"/>
  <c r="AH146" i="1"/>
  <c r="AJ146" i="1"/>
  <c r="AS145" i="1" s="1"/>
  <c r="AK146" i="1"/>
  <c r="AO146" i="1"/>
  <c r="AP146" i="1"/>
  <c r="J146" i="1" s="1"/>
  <c r="J145" i="1" s="1"/>
  <c r="AX146" i="1"/>
  <c r="BD146" i="1"/>
  <c r="BF146" i="1"/>
  <c r="BH146" i="1"/>
  <c r="AD146" i="1" s="1"/>
  <c r="BI146" i="1"/>
  <c r="AE146" i="1" s="1"/>
  <c r="BJ146" i="1"/>
  <c r="J148" i="1"/>
  <c r="K148" i="1"/>
  <c r="Z148" i="1"/>
  <c r="AB148" i="1"/>
  <c r="AC148" i="1"/>
  <c r="AF148" i="1"/>
  <c r="AG148" i="1"/>
  <c r="AH148" i="1"/>
  <c r="AJ148" i="1"/>
  <c r="AK148" i="1"/>
  <c r="AT147" i="1" s="1"/>
  <c r="AL148" i="1"/>
  <c r="AU147" i="1" s="1"/>
  <c r="AO148" i="1"/>
  <c r="I148" i="1" s="1"/>
  <c r="AP148" i="1"/>
  <c r="AX148" i="1" s="1"/>
  <c r="AW148" i="1"/>
  <c r="BD148" i="1"/>
  <c r="BF148" i="1"/>
  <c r="BH148" i="1"/>
  <c r="AD148" i="1" s="1"/>
  <c r="BI148" i="1"/>
  <c r="AE148" i="1" s="1"/>
  <c r="BJ148" i="1"/>
  <c r="K149" i="1"/>
  <c r="AL149" i="1" s="1"/>
  <c r="Z149" i="1"/>
  <c r="AB149" i="1"/>
  <c r="AC149" i="1"/>
  <c r="AF149" i="1"/>
  <c r="AG149" i="1"/>
  <c r="AH149" i="1"/>
  <c r="AJ149" i="1"/>
  <c r="AK149" i="1"/>
  <c r="AO149" i="1"/>
  <c r="AP149" i="1"/>
  <c r="J149" i="1" s="1"/>
  <c r="AX149" i="1"/>
  <c r="BD149" i="1"/>
  <c r="BF149" i="1"/>
  <c r="BH149" i="1"/>
  <c r="AD149" i="1" s="1"/>
  <c r="BI149" i="1"/>
  <c r="AE149" i="1" s="1"/>
  <c r="BJ149" i="1"/>
  <c r="J150" i="1"/>
  <c r="K150" i="1"/>
  <c r="Z150" i="1"/>
  <c r="AB150" i="1"/>
  <c r="AC150" i="1"/>
  <c r="AF150" i="1"/>
  <c r="AG150" i="1"/>
  <c r="AH150" i="1"/>
  <c r="AJ150" i="1"/>
  <c r="AS147" i="1" s="1"/>
  <c r="AK150" i="1"/>
  <c r="AL150" i="1"/>
  <c r="AO150" i="1"/>
  <c r="I150" i="1" s="1"/>
  <c r="AP150" i="1"/>
  <c r="AX150" i="1" s="1"/>
  <c r="AW150" i="1"/>
  <c r="AV150" i="1" s="1"/>
  <c r="BD150" i="1"/>
  <c r="BF150" i="1"/>
  <c r="BH150" i="1"/>
  <c r="AD150" i="1" s="1"/>
  <c r="BI150" i="1"/>
  <c r="AE150" i="1" s="1"/>
  <c r="BJ150" i="1"/>
  <c r="I152" i="1"/>
  <c r="K152" i="1"/>
  <c r="AL152" i="1" s="1"/>
  <c r="Z152" i="1"/>
  <c r="AB152" i="1"/>
  <c r="AC152" i="1"/>
  <c r="AF152" i="1"/>
  <c r="AG152" i="1"/>
  <c r="AH152" i="1"/>
  <c r="AJ152" i="1"/>
  <c r="AK152" i="1"/>
  <c r="AT151" i="1" s="1"/>
  <c r="AO152" i="1"/>
  <c r="AW152" i="1" s="1"/>
  <c r="AP152" i="1"/>
  <c r="J152" i="1" s="1"/>
  <c r="AX152" i="1"/>
  <c r="AV152" i="1" s="1"/>
  <c r="BD152" i="1"/>
  <c r="BF152" i="1"/>
  <c r="BH152" i="1"/>
  <c r="AD152" i="1" s="1"/>
  <c r="BI152" i="1"/>
  <c r="AE152" i="1" s="1"/>
  <c r="BJ152" i="1"/>
  <c r="J153" i="1"/>
  <c r="K153" i="1"/>
  <c r="Z153" i="1"/>
  <c r="AB153" i="1"/>
  <c r="AC153" i="1"/>
  <c r="AF153" i="1"/>
  <c r="AG153" i="1"/>
  <c r="AH153" i="1"/>
  <c r="AJ153" i="1"/>
  <c r="AK153" i="1"/>
  <c r="AL153" i="1"/>
  <c r="AO153" i="1"/>
  <c r="I153" i="1" s="1"/>
  <c r="AP153" i="1"/>
  <c r="AX153" i="1" s="1"/>
  <c r="AW153" i="1"/>
  <c r="AV153" i="1" s="1"/>
  <c r="BD153" i="1"/>
  <c r="BF153" i="1"/>
  <c r="BH153" i="1"/>
  <c r="AD153" i="1" s="1"/>
  <c r="BI153" i="1"/>
  <c r="AE153" i="1" s="1"/>
  <c r="BJ153" i="1"/>
  <c r="K154" i="1"/>
  <c r="AL154" i="1" s="1"/>
  <c r="Z154" i="1"/>
  <c r="AB154" i="1"/>
  <c r="AC154" i="1"/>
  <c r="AF154" i="1"/>
  <c r="AG154" i="1"/>
  <c r="AH154" i="1"/>
  <c r="AJ154" i="1"/>
  <c r="AK154" i="1"/>
  <c r="AO154" i="1"/>
  <c r="AW154" i="1" s="1"/>
  <c r="BC154" i="1" s="1"/>
  <c r="AP154" i="1"/>
  <c r="J154" i="1" s="1"/>
  <c r="AV154" i="1"/>
  <c r="AX154" i="1"/>
  <c r="BD154" i="1"/>
  <c r="BF154" i="1"/>
  <c r="BH154" i="1"/>
  <c r="AD154" i="1" s="1"/>
  <c r="BI154" i="1"/>
  <c r="AE154" i="1" s="1"/>
  <c r="BJ154" i="1"/>
  <c r="K155" i="1"/>
  <c r="Z155" i="1"/>
  <c r="AB155" i="1"/>
  <c r="AC155" i="1"/>
  <c r="AF155" i="1"/>
  <c r="AG155" i="1"/>
  <c r="AH155" i="1"/>
  <c r="AJ155" i="1"/>
  <c r="AK155" i="1"/>
  <c r="AL155" i="1"/>
  <c r="AO155" i="1"/>
  <c r="I155" i="1" s="1"/>
  <c r="AP155" i="1"/>
  <c r="J155" i="1" s="1"/>
  <c r="AW155" i="1"/>
  <c r="AX155" i="1"/>
  <c r="BC155" i="1" s="1"/>
  <c r="BD155" i="1"/>
  <c r="BF155" i="1"/>
  <c r="BH155" i="1"/>
  <c r="AD155" i="1" s="1"/>
  <c r="BJ155" i="1"/>
  <c r="K156" i="1"/>
  <c r="Z156" i="1"/>
  <c r="AB156" i="1"/>
  <c r="AC156" i="1"/>
  <c r="AF156" i="1"/>
  <c r="AG156" i="1"/>
  <c r="AH156" i="1"/>
  <c r="AJ156" i="1"/>
  <c r="AK156" i="1"/>
  <c r="AL156" i="1"/>
  <c r="AO156" i="1"/>
  <c r="I156" i="1" s="1"/>
  <c r="AP156" i="1"/>
  <c r="AX156" i="1" s="1"/>
  <c r="BC156" i="1" s="1"/>
  <c r="AW156" i="1"/>
  <c r="AV156" i="1" s="1"/>
  <c r="BD156" i="1"/>
  <c r="BF156" i="1"/>
  <c r="BH156" i="1"/>
  <c r="AD156" i="1" s="1"/>
  <c r="BI156" i="1"/>
  <c r="AE156" i="1" s="1"/>
  <c r="BJ156" i="1"/>
  <c r="K157" i="1"/>
  <c r="AL157" i="1" s="1"/>
  <c r="Z157" i="1"/>
  <c r="AB157" i="1"/>
  <c r="AC157" i="1"/>
  <c r="AF157" i="1"/>
  <c r="AG157" i="1"/>
  <c r="AH157" i="1"/>
  <c r="AJ157" i="1"/>
  <c r="AK157" i="1"/>
  <c r="AO157" i="1"/>
  <c r="AW157" i="1" s="1"/>
  <c r="AP157" i="1"/>
  <c r="J157" i="1" s="1"/>
  <c r="AX157" i="1"/>
  <c r="BD157" i="1"/>
  <c r="BF157" i="1"/>
  <c r="BH157" i="1"/>
  <c r="AD157" i="1" s="1"/>
  <c r="BI157" i="1"/>
  <c r="AE157" i="1" s="1"/>
  <c r="BJ157" i="1"/>
  <c r="K158" i="1"/>
  <c r="Z158" i="1"/>
  <c r="AB158" i="1"/>
  <c r="AC158" i="1"/>
  <c r="AF158" i="1"/>
  <c r="AG158" i="1"/>
  <c r="AH158" i="1"/>
  <c r="AJ158" i="1"/>
  <c r="AK158" i="1"/>
  <c r="AL158" i="1"/>
  <c r="AO158" i="1"/>
  <c r="I158" i="1" s="1"/>
  <c r="AP158" i="1"/>
  <c r="AX158" i="1" s="1"/>
  <c r="BC158" i="1" s="1"/>
  <c r="AW158" i="1"/>
  <c r="BD158" i="1"/>
  <c r="BF158" i="1"/>
  <c r="BH158" i="1"/>
  <c r="AD158" i="1" s="1"/>
  <c r="BI158" i="1"/>
  <c r="AE158" i="1" s="1"/>
  <c r="BJ158" i="1"/>
  <c r="K159" i="1"/>
  <c r="AL159" i="1" s="1"/>
  <c r="Z159" i="1"/>
  <c r="AB159" i="1"/>
  <c r="AC159" i="1"/>
  <c r="AF159" i="1"/>
  <c r="AG159" i="1"/>
  <c r="AH159" i="1"/>
  <c r="AJ159" i="1"/>
  <c r="AK159" i="1"/>
  <c r="AO159" i="1"/>
  <c r="AW159" i="1" s="1"/>
  <c r="AP159" i="1"/>
  <c r="J159" i="1" s="1"/>
  <c r="AX159" i="1"/>
  <c r="BD159" i="1"/>
  <c r="BF159" i="1"/>
  <c r="BH159" i="1"/>
  <c r="AD159" i="1" s="1"/>
  <c r="BI159" i="1"/>
  <c r="AE159" i="1" s="1"/>
  <c r="BJ159" i="1"/>
  <c r="K160" i="1"/>
  <c r="Z160" i="1"/>
  <c r="AB160" i="1"/>
  <c r="AC160" i="1"/>
  <c r="AF160" i="1"/>
  <c r="AG160" i="1"/>
  <c r="AH160" i="1"/>
  <c r="AJ160" i="1"/>
  <c r="AK160" i="1"/>
  <c r="AL160" i="1"/>
  <c r="AO160" i="1"/>
  <c r="I160" i="1" s="1"/>
  <c r="AP160" i="1"/>
  <c r="AX160" i="1" s="1"/>
  <c r="BC160" i="1" s="1"/>
  <c r="AW160" i="1"/>
  <c r="AV160" i="1" s="1"/>
  <c r="BD160" i="1"/>
  <c r="BF160" i="1"/>
  <c r="BH160" i="1"/>
  <c r="AD160" i="1" s="1"/>
  <c r="BI160" i="1"/>
  <c r="AE160" i="1" s="1"/>
  <c r="BJ160" i="1"/>
  <c r="K161" i="1"/>
  <c r="AL161" i="1" s="1"/>
  <c r="Z161" i="1"/>
  <c r="AB161" i="1"/>
  <c r="AC161" i="1"/>
  <c r="AF161" i="1"/>
  <c r="AG161" i="1"/>
  <c r="AH161" i="1"/>
  <c r="AJ161" i="1"/>
  <c r="AK161" i="1"/>
  <c r="AO161" i="1"/>
  <c r="AW161" i="1" s="1"/>
  <c r="AP161" i="1"/>
  <c r="J161" i="1" s="1"/>
  <c r="AX161" i="1"/>
  <c r="BD161" i="1"/>
  <c r="BF161" i="1"/>
  <c r="BH161" i="1"/>
  <c r="AD161" i="1" s="1"/>
  <c r="BI161" i="1"/>
  <c r="AE161" i="1" s="1"/>
  <c r="BJ161" i="1"/>
  <c r="K163" i="1"/>
  <c r="K162" i="1" s="1"/>
  <c r="G30" i="2" s="1"/>
  <c r="I30" i="2" s="1"/>
  <c r="Z163" i="1"/>
  <c r="AB163" i="1"/>
  <c r="AC163" i="1"/>
  <c r="AF163" i="1"/>
  <c r="AG163" i="1"/>
  <c r="AH163" i="1"/>
  <c r="AJ163" i="1"/>
  <c r="AS162" i="1" s="1"/>
  <c r="AK163" i="1"/>
  <c r="AT162" i="1" s="1"/>
  <c r="AL163" i="1"/>
  <c r="AU162" i="1" s="1"/>
  <c r="AO163" i="1"/>
  <c r="I163" i="1" s="1"/>
  <c r="I162" i="1" s="1"/>
  <c r="E30" i="2" s="1"/>
  <c r="AP163" i="1"/>
  <c r="AX163" i="1" s="1"/>
  <c r="BC163" i="1" s="1"/>
  <c r="AW163" i="1"/>
  <c r="BD163" i="1"/>
  <c r="BF163" i="1"/>
  <c r="BH163" i="1"/>
  <c r="AD163" i="1" s="1"/>
  <c r="BI163" i="1"/>
  <c r="AE163" i="1" s="1"/>
  <c r="BJ163" i="1"/>
  <c r="K165" i="1"/>
  <c r="AL165" i="1" s="1"/>
  <c r="Z165" i="1"/>
  <c r="AB165" i="1"/>
  <c r="AC165" i="1"/>
  <c r="AF165" i="1"/>
  <c r="AG165" i="1"/>
  <c r="AH165" i="1"/>
  <c r="AJ165" i="1"/>
  <c r="AS164" i="1" s="1"/>
  <c r="AK165" i="1"/>
  <c r="AT164" i="1" s="1"/>
  <c r="AO165" i="1"/>
  <c r="AW165" i="1" s="1"/>
  <c r="AP165" i="1"/>
  <c r="J165" i="1" s="1"/>
  <c r="AX165" i="1"/>
  <c r="BD165" i="1"/>
  <c r="BF165" i="1"/>
  <c r="BH165" i="1"/>
  <c r="AD165" i="1" s="1"/>
  <c r="BI165" i="1"/>
  <c r="AE165" i="1" s="1"/>
  <c r="BJ165" i="1"/>
  <c r="K166" i="1"/>
  <c r="Z166" i="1"/>
  <c r="AB166" i="1"/>
  <c r="AC166" i="1"/>
  <c r="AF166" i="1"/>
  <c r="AG166" i="1"/>
  <c r="AH166" i="1"/>
  <c r="AJ166" i="1"/>
  <c r="AK166" i="1"/>
  <c r="AL166" i="1"/>
  <c r="AO166" i="1"/>
  <c r="I166" i="1" s="1"/>
  <c r="AP166" i="1"/>
  <c r="AX166" i="1" s="1"/>
  <c r="BC166" i="1" s="1"/>
  <c r="AW166" i="1"/>
  <c r="AV166" i="1" s="1"/>
  <c r="BD166" i="1"/>
  <c r="BF166" i="1"/>
  <c r="BH166" i="1"/>
  <c r="AD166" i="1" s="1"/>
  <c r="BI166" i="1"/>
  <c r="AE166" i="1" s="1"/>
  <c r="BJ166" i="1"/>
  <c r="K167" i="1"/>
  <c r="AL167" i="1" s="1"/>
  <c r="Z167" i="1"/>
  <c r="AB167" i="1"/>
  <c r="AC167" i="1"/>
  <c r="AF167" i="1"/>
  <c r="AG167" i="1"/>
  <c r="AH167" i="1"/>
  <c r="AJ167" i="1"/>
  <c r="AK167" i="1"/>
  <c r="AO167" i="1"/>
  <c r="AW167" i="1" s="1"/>
  <c r="AP167" i="1"/>
  <c r="J167" i="1" s="1"/>
  <c r="AX167" i="1"/>
  <c r="BD167" i="1"/>
  <c r="BF167" i="1"/>
  <c r="BH167" i="1"/>
  <c r="AD167" i="1" s="1"/>
  <c r="BI167" i="1"/>
  <c r="AE167" i="1" s="1"/>
  <c r="BJ167" i="1"/>
  <c r="K168" i="1"/>
  <c r="Z168" i="1"/>
  <c r="AB168" i="1"/>
  <c r="AC168" i="1"/>
  <c r="AF168" i="1"/>
  <c r="AG168" i="1"/>
  <c r="AH168" i="1"/>
  <c r="AJ168" i="1"/>
  <c r="AK168" i="1"/>
  <c r="AL168" i="1"/>
  <c r="AO168" i="1"/>
  <c r="I168" i="1" s="1"/>
  <c r="AP168" i="1"/>
  <c r="AX168" i="1" s="1"/>
  <c r="BC168" i="1" s="1"/>
  <c r="AW168" i="1"/>
  <c r="BD168" i="1"/>
  <c r="BF168" i="1"/>
  <c r="BH168" i="1"/>
  <c r="AD168" i="1" s="1"/>
  <c r="BI168" i="1"/>
  <c r="AE168" i="1" s="1"/>
  <c r="BJ168" i="1"/>
  <c r="K169" i="1"/>
  <c r="AL169" i="1" s="1"/>
  <c r="Z169" i="1"/>
  <c r="AB169" i="1"/>
  <c r="AC169" i="1"/>
  <c r="AF169" i="1"/>
  <c r="AG169" i="1"/>
  <c r="AH169" i="1"/>
  <c r="AJ169" i="1"/>
  <c r="AK169" i="1"/>
  <c r="AO169" i="1"/>
  <c r="AW169" i="1" s="1"/>
  <c r="AP169" i="1"/>
  <c r="J169" i="1" s="1"/>
  <c r="AX169" i="1"/>
  <c r="BD169" i="1"/>
  <c r="BF169" i="1"/>
  <c r="BH169" i="1"/>
  <c r="AD169" i="1" s="1"/>
  <c r="BI169" i="1"/>
  <c r="AE169" i="1" s="1"/>
  <c r="BJ169" i="1"/>
  <c r="K170" i="1"/>
  <c r="Z170" i="1"/>
  <c r="AB170" i="1"/>
  <c r="AC170" i="1"/>
  <c r="AF170" i="1"/>
  <c r="AG170" i="1"/>
  <c r="AH170" i="1"/>
  <c r="AJ170" i="1"/>
  <c r="AK170" i="1"/>
  <c r="AL170" i="1"/>
  <c r="AO170" i="1"/>
  <c r="I170" i="1" s="1"/>
  <c r="AP170" i="1"/>
  <c r="AX170" i="1" s="1"/>
  <c r="BC170" i="1" s="1"/>
  <c r="AW170" i="1"/>
  <c r="AV170" i="1" s="1"/>
  <c r="BD170" i="1"/>
  <c r="BF170" i="1"/>
  <c r="BH170" i="1"/>
  <c r="AD170" i="1" s="1"/>
  <c r="BI170" i="1"/>
  <c r="AE170" i="1" s="1"/>
  <c r="BJ170" i="1"/>
  <c r="K171" i="1"/>
  <c r="AL171" i="1" s="1"/>
  <c r="Z171" i="1"/>
  <c r="AB171" i="1"/>
  <c r="AC171" i="1"/>
  <c r="AF171" i="1"/>
  <c r="AG171" i="1"/>
  <c r="AH171" i="1"/>
  <c r="AJ171" i="1"/>
  <c r="AK171" i="1"/>
  <c r="AO171" i="1"/>
  <c r="AW171" i="1" s="1"/>
  <c r="AP171" i="1"/>
  <c r="J171" i="1" s="1"/>
  <c r="AX171" i="1"/>
  <c r="BD171" i="1"/>
  <c r="BF171" i="1"/>
  <c r="BH171" i="1"/>
  <c r="AD171" i="1" s="1"/>
  <c r="BI171" i="1"/>
  <c r="AE171" i="1" s="1"/>
  <c r="BJ171" i="1"/>
  <c r="K172" i="1"/>
  <c r="Z172" i="1"/>
  <c r="AB172" i="1"/>
  <c r="AC172" i="1"/>
  <c r="AF172" i="1"/>
  <c r="AG172" i="1"/>
  <c r="AH172" i="1"/>
  <c r="AJ172" i="1"/>
  <c r="AK172" i="1"/>
  <c r="AL172" i="1"/>
  <c r="AO172" i="1"/>
  <c r="I172" i="1" s="1"/>
  <c r="AP172" i="1"/>
  <c r="AX172" i="1" s="1"/>
  <c r="BC172" i="1" s="1"/>
  <c r="AW172" i="1"/>
  <c r="BD172" i="1"/>
  <c r="BF172" i="1"/>
  <c r="BH172" i="1"/>
  <c r="AD172" i="1" s="1"/>
  <c r="BI172" i="1"/>
  <c r="AE172" i="1" s="1"/>
  <c r="BJ172" i="1"/>
  <c r="K173" i="1"/>
  <c r="AL173" i="1" s="1"/>
  <c r="Z173" i="1"/>
  <c r="AB173" i="1"/>
  <c r="AC173" i="1"/>
  <c r="AF173" i="1"/>
  <c r="AG173" i="1"/>
  <c r="AH173" i="1"/>
  <c r="AJ173" i="1"/>
  <c r="AK173" i="1"/>
  <c r="AO173" i="1"/>
  <c r="AW173" i="1" s="1"/>
  <c r="AP173" i="1"/>
  <c r="J173" i="1" s="1"/>
  <c r="AX173" i="1"/>
  <c r="BD173" i="1"/>
  <c r="BF173" i="1"/>
  <c r="BH173" i="1"/>
  <c r="AD173" i="1" s="1"/>
  <c r="BI173" i="1"/>
  <c r="AE173" i="1" s="1"/>
  <c r="BJ173" i="1"/>
  <c r="K175" i="1"/>
  <c r="K174" i="1" s="1"/>
  <c r="G32" i="2" s="1"/>
  <c r="I32" i="2" s="1"/>
  <c r="Z175" i="1"/>
  <c r="AB175" i="1"/>
  <c r="AC175" i="1"/>
  <c r="AD175" i="1"/>
  <c r="AE175" i="1"/>
  <c r="AH175" i="1"/>
  <c r="AJ175" i="1"/>
  <c r="AS174" i="1" s="1"/>
  <c r="AK175" i="1"/>
  <c r="AT174" i="1" s="1"/>
  <c r="AL175" i="1"/>
  <c r="AO175" i="1"/>
  <c r="I175" i="1" s="1"/>
  <c r="AP175" i="1"/>
  <c r="AX175" i="1" s="1"/>
  <c r="BC175" i="1" s="1"/>
  <c r="AW175" i="1"/>
  <c r="AV175" i="1" s="1"/>
  <c r="BD175" i="1"/>
  <c r="BF175" i="1"/>
  <c r="BH175" i="1"/>
  <c r="AF175" i="1" s="1"/>
  <c r="BI175" i="1"/>
  <c r="AG175" i="1" s="1"/>
  <c r="BJ175" i="1"/>
  <c r="K176" i="1"/>
  <c r="AL176" i="1" s="1"/>
  <c r="Z176" i="1"/>
  <c r="AB176" i="1"/>
  <c r="AC176" i="1"/>
  <c r="AD176" i="1"/>
  <c r="AE176" i="1"/>
  <c r="AH176" i="1"/>
  <c r="AJ176" i="1"/>
  <c r="AK176" i="1"/>
  <c r="AO176" i="1"/>
  <c r="AW176" i="1" s="1"/>
  <c r="AP176" i="1"/>
  <c r="J176" i="1" s="1"/>
  <c r="AX176" i="1"/>
  <c r="BD176" i="1"/>
  <c r="BF176" i="1"/>
  <c r="BH176" i="1"/>
  <c r="AF176" i="1" s="1"/>
  <c r="BI176" i="1"/>
  <c r="AG176" i="1" s="1"/>
  <c r="BJ176" i="1"/>
  <c r="K179" i="1"/>
  <c r="K178" i="1" s="1"/>
  <c r="G33" i="2" s="1"/>
  <c r="I33" i="2" s="1"/>
  <c r="Z179" i="1"/>
  <c r="AB179" i="1"/>
  <c r="AC179" i="1"/>
  <c r="AD179" i="1"/>
  <c r="AE179" i="1"/>
  <c r="AH179" i="1"/>
  <c r="AJ179" i="1"/>
  <c r="AS178" i="1" s="1"/>
  <c r="AK179" i="1"/>
  <c r="AT178" i="1" s="1"/>
  <c r="AL179" i="1"/>
  <c r="AU178" i="1" s="1"/>
  <c r="AO179" i="1"/>
  <c r="I179" i="1" s="1"/>
  <c r="AP179" i="1"/>
  <c r="AX179" i="1" s="1"/>
  <c r="BC179" i="1" s="1"/>
  <c r="AW179" i="1"/>
  <c r="BD179" i="1"/>
  <c r="BF179" i="1"/>
  <c r="BH179" i="1"/>
  <c r="AF179" i="1" s="1"/>
  <c r="BI179" i="1"/>
  <c r="AG179" i="1" s="1"/>
  <c r="BJ179" i="1"/>
  <c r="K180" i="1"/>
  <c r="AL180" i="1" s="1"/>
  <c r="Z180" i="1"/>
  <c r="AB180" i="1"/>
  <c r="AC180" i="1"/>
  <c r="AD180" i="1"/>
  <c r="AE180" i="1"/>
  <c r="AH180" i="1"/>
  <c r="AJ180" i="1"/>
  <c r="AK180" i="1"/>
  <c r="AO180" i="1"/>
  <c r="AW180" i="1" s="1"/>
  <c r="AP180" i="1"/>
  <c r="J180" i="1" s="1"/>
  <c r="AX180" i="1"/>
  <c r="BD180" i="1"/>
  <c r="BF180" i="1"/>
  <c r="BH180" i="1"/>
  <c r="AF180" i="1" s="1"/>
  <c r="BI180" i="1"/>
  <c r="AG180" i="1" s="1"/>
  <c r="BJ180" i="1"/>
  <c r="K183" i="1"/>
  <c r="Z183" i="1"/>
  <c r="AD183" i="1"/>
  <c r="AE183" i="1"/>
  <c r="AF183" i="1"/>
  <c r="AG183" i="1"/>
  <c r="AH183" i="1"/>
  <c r="AJ183" i="1"/>
  <c r="AK183" i="1"/>
  <c r="AO183" i="1"/>
  <c r="I183" i="1" s="1"/>
  <c r="AP183" i="1"/>
  <c r="AX183" i="1" s="1"/>
  <c r="AW183" i="1"/>
  <c r="BD183" i="1"/>
  <c r="BF183" i="1"/>
  <c r="BI183" i="1"/>
  <c r="AC183" i="1" s="1"/>
  <c r="BJ183" i="1"/>
  <c r="K184" i="1"/>
  <c r="AL184" i="1" s="1"/>
  <c r="Z184" i="1"/>
  <c r="AD184" i="1"/>
  <c r="AE184" i="1"/>
  <c r="AF184" i="1"/>
  <c r="AG184" i="1"/>
  <c r="AH184" i="1"/>
  <c r="AJ184" i="1"/>
  <c r="AK184" i="1"/>
  <c r="AO184" i="1"/>
  <c r="AW184" i="1" s="1"/>
  <c r="AP184" i="1"/>
  <c r="J184" i="1" s="1"/>
  <c r="BD184" i="1"/>
  <c r="BF184" i="1"/>
  <c r="BH184" i="1"/>
  <c r="AB184" i="1" s="1"/>
  <c r="BJ184" i="1"/>
  <c r="K185" i="1"/>
  <c r="Z185" i="1"/>
  <c r="AD185" i="1"/>
  <c r="AE185" i="1"/>
  <c r="AF185" i="1"/>
  <c r="AG185" i="1"/>
  <c r="AH185" i="1"/>
  <c r="AJ185" i="1"/>
  <c r="AK185" i="1"/>
  <c r="AL185" i="1"/>
  <c r="AO185" i="1"/>
  <c r="I185" i="1" s="1"/>
  <c r="AP185" i="1"/>
  <c r="AX185" i="1" s="1"/>
  <c r="BC185" i="1" s="1"/>
  <c r="AW185" i="1"/>
  <c r="BD185" i="1"/>
  <c r="BF185" i="1"/>
  <c r="BH185" i="1"/>
  <c r="AB185" i="1" s="1"/>
  <c r="BJ185" i="1"/>
  <c r="K186" i="1"/>
  <c r="AL186" i="1" s="1"/>
  <c r="Z186" i="1"/>
  <c r="AD186" i="1"/>
  <c r="AE186" i="1"/>
  <c r="AF186" i="1"/>
  <c r="AG186" i="1"/>
  <c r="AH186" i="1"/>
  <c r="AJ186" i="1"/>
  <c r="AK186" i="1"/>
  <c r="AO186" i="1"/>
  <c r="AW186" i="1" s="1"/>
  <c r="AP186" i="1"/>
  <c r="J186" i="1" s="1"/>
  <c r="BD186" i="1"/>
  <c r="BF186" i="1"/>
  <c r="BH186" i="1"/>
  <c r="AB186" i="1" s="1"/>
  <c r="BJ186" i="1"/>
  <c r="B2" i="2"/>
  <c r="E2" i="2"/>
  <c r="B4" i="2"/>
  <c r="E4" i="2"/>
  <c r="B6" i="2"/>
  <c r="E6" i="2"/>
  <c r="B8" i="2"/>
  <c r="I11" i="2"/>
  <c r="F13" i="2"/>
  <c r="E17" i="2"/>
  <c r="G17" i="2"/>
  <c r="I17" i="2"/>
  <c r="F19" i="2"/>
  <c r="E22" i="2"/>
  <c r="G22" i="2"/>
  <c r="I22" i="2"/>
  <c r="F23" i="2"/>
  <c r="E26" i="2"/>
  <c r="F27" i="2"/>
  <c r="C2" i="3"/>
  <c r="F2" i="3"/>
  <c r="C4" i="3"/>
  <c r="F4" i="3"/>
  <c r="C6" i="3"/>
  <c r="F6" i="3"/>
  <c r="C8" i="3"/>
  <c r="AV183" i="1" l="1"/>
  <c r="BH14" i="1"/>
  <c r="AB14" i="1" s="1"/>
  <c r="BI186" i="1"/>
  <c r="AC186" i="1" s="1"/>
  <c r="AX186" i="1"/>
  <c r="AV186" i="1" s="1"/>
  <c r="BI185" i="1"/>
  <c r="AC185" i="1" s="1"/>
  <c r="AT182" i="1"/>
  <c r="K182" i="1"/>
  <c r="G34" i="2" s="1"/>
  <c r="I34" i="2" s="1"/>
  <c r="BI184" i="1"/>
  <c r="AC184" i="1" s="1"/>
  <c r="AX184" i="1"/>
  <c r="BC184" i="1" s="1"/>
  <c r="AS182" i="1"/>
  <c r="BH183" i="1"/>
  <c r="AB183" i="1" s="1"/>
  <c r="BC183" i="1"/>
  <c r="AL183" i="1"/>
  <c r="BC186" i="1"/>
  <c r="BC180" i="1"/>
  <c r="AV180" i="1"/>
  <c r="BC173" i="1"/>
  <c r="AV173" i="1"/>
  <c r="BC169" i="1"/>
  <c r="AV169" i="1"/>
  <c r="BC165" i="1"/>
  <c r="AV165" i="1"/>
  <c r="BC159" i="1"/>
  <c r="AV159" i="1"/>
  <c r="AV185" i="1"/>
  <c r="AU182" i="1"/>
  <c r="AV179" i="1"/>
  <c r="I178" i="1"/>
  <c r="E33" i="2" s="1"/>
  <c r="BC176" i="1"/>
  <c r="AV176" i="1"/>
  <c r="AU174" i="1"/>
  <c r="AV172" i="1"/>
  <c r="BC171" i="1"/>
  <c r="AV171" i="1"/>
  <c r="AV168" i="1"/>
  <c r="BC167" i="1"/>
  <c r="AV167" i="1"/>
  <c r="AU164" i="1"/>
  <c r="AV163" i="1"/>
  <c r="BC161" i="1"/>
  <c r="AV161" i="1"/>
  <c r="AV158" i="1"/>
  <c r="BC157" i="1"/>
  <c r="AV157" i="1"/>
  <c r="I186" i="1"/>
  <c r="J185" i="1"/>
  <c r="I184" i="1"/>
  <c r="I182" i="1" s="1"/>
  <c r="E34" i="2" s="1"/>
  <c r="J183" i="1"/>
  <c r="J182" i="1" s="1"/>
  <c r="F34" i="2" s="1"/>
  <c r="I180" i="1"/>
  <c r="J179" i="1"/>
  <c r="J178" i="1" s="1"/>
  <c r="F33" i="2" s="1"/>
  <c r="I176" i="1"/>
  <c r="I174" i="1" s="1"/>
  <c r="E32" i="2" s="1"/>
  <c r="J175" i="1"/>
  <c r="J174" i="1" s="1"/>
  <c r="F32" i="2" s="1"/>
  <c r="I173" i="1"/>
  <c r="J172" i="1"/>
  <c r="I171" i="1"/>
  <c r="J170" i="1"/>
  <c r="I169" i="1"/>
  <c r="J168" i="1"/>
  <c r="I167" i="1"/>
  <c r="J166" i="1"/>
  <c r="J164" i="1" s="1"/>
  <c r="F31" i="2" s="1"/>
  <c r="I165" i="1"/>
  <c r="I164" i="1" s="1"/>
  <c r="E31" i="2" s="1"/>
  <c r="K164" i="1"/>
  <c r="G31" i="2" s="1"/>
  <c r="I31" i="2" s="1"/>
  <c r="J163" i="1"/>
  <c r="J162" i="1" s="1"/>
  <c r="F30" i="2" s="1"/>
  <c r="I161" i="1"/>
  <c r="J160" i="1"/>
  <c r="I159" i="1"/>
  <c r="J158" i="1"/>
  <c r="I157" i="1"/>
  <c r="J156" i="1"/>
  <c r="J151" i="1"/>
  <c r="F29" i="2" s="1"/>
  <c r="K151" i="1"/>
  <c r="G29" i="2" s="1"/>
  <c r="I29" i="2" s="1"/>
  <c r="J147" i="1"/>
  <c r="F28" i="2" s="1"/>
  <c r="AW146" i="1"/>
  <c r="I146" i="1"/>
  <c r="I145" i="1" s="1"/>
  <c r="E27" i="2" s="1"/>
  <c r="AL146" i="1"/>
  <c r="AU145" i="1" s="1"/>
  <c r="K145" i="1"/>
  <c r="G27" i="2" s="1"/>
  <c r="I27" i="2" s="1"/>
  <c r="AX144" i="1"/>
  <c r="BC144" i="1" s="1"/>
  <c r="J144" i="1"/>
  <c r="J143" i="1" s="1"/>
  <c r="F26" i="2" s="1"/>
  <c r="AX141" i="1"/>
  <c r="BC141" i="1" s="1"/>
  <c r="J141" i="1"/>
  <c r="J140" i="1" s="1"/>
  <c r="F25" i="2" s="1"/>
  <c r="J136" i="1"/>
  <c r="J132" i="1"/>
  <c r="J128" i="1"/>
  <c r="J124" i="1"/>
  <c r="J120" i="1"/>
  <c r="AX109" i="1"/>
  <c r="BC109" i="1" s="1"/>
  <c r="J109" i="1"/>
  <c r="AU106" i="1"/>
  <c r="J106" i="1"/>
  <c r="F21" i="2" s="1"/>
  <c r="AW104" i="1"/>
  <c r="I104" i="1"/>
  <c r="AV102" i="1"/>
  <c r="BC102" i="1"/>
  <c r="AW98" i="1"/>
  <c r="I98" i="1"/>
  <c r="AV97" i="1"/>
  <c r="BC97" i="1"/>
  <c r="AW93" i="1"/>
  <c r="I93" i="1"/>
  <c r="AV92" i="1"/>
  <c r="BC92" i="1"/>
  <c r="AW89" i="1"/>
  <c r="I89" i="1"/>
  <c r="AV88" i="1"/>
  <c r="BC88" i="1"/>
  <c r="AW85" i="1"/>
  <c r="I85" i="1"/>
  <c r="AV84" i="1"/>
  <c r="BC84" i="1"/>
  <c r="AW81" i="1"/>
  <c r="I81" i="1"/>
  <c r="AV80" i="1"/>
  <c r="BC80" i="1"/>
  <c r="AW77" i="1"/>
  <c r="I77" i="1"/>
  <c r="AV76" i="1"/>
  <c r="BC76" i="1"/>
  <c r="AW72" i="1"/>
  <c r="I72" i="1"/>
  <c r="AV71" i="1"/>
  <c r="BC71" i="1"/>
  <c r="AW68" i="1"/>
  <c r="I68" i="1"/>
  <c r="BI155" i="1"/>
  <c r="AE155" i="1" s="1"/>
  <c r="C17" i="4" s="1"/>
  <c r="AV155" i="1"/>
  <c r="I154" i="1"/>
  <c r="I151" i="1" s="1"/>
  <c r="E29" i="2" s="1"/>
  <c r="BC153" i="1"/>
  <c r="BC152" i="1"/>
  <c r="AS151" i="1"/>
  <c r="AU151" i="1"/>
  <c r="BC150" i="1"/>
  <c r="AW149" i="1"/>
  <c r="I149" i="1"/>
  <c r="AV148" i="1"/>
  <c r="BC148" i="1"/>
  <c r="I147" i="1"/>
  <c r="E28" i="2" s="1"/>
  <c r="J138" i="1"/>
  <c r="J134" i="1"/>
  <c r="J130" i="1"/>
  <c r="J126" i="1"/>
  <c r="J122" i="1"/>
  <c r="AU117" i="1"/>
  <c r="J118" i="1"/>
  <c r="AW116" i="1"/>
  <c r="I116" i="1"/>
  <c r="I115" i="1" s="1"/>
  <c r="E23" i="2" s="1"/>
  <c r="AL116" i="1"/>
  <c r="AU115" i="1" s="1"/>
  <c r="K115" i="1"/>
  <c r="G23" i="2" s="1"/>
  <c r="I23" i="2" s="1"/>
  <c r="J114" i="1"/>
  <c r="J113" i="1" s="1"/>
  <c r="F22" i="2" s="1"/>
  <c r="AW112" i="1"/>
  <c r="I112" i="1"/>
  <c r="AV111" i="1"/>
  <c r="BC111" i="1"/>
  <c r="AW108" i="1"/>
  <c r="I108" i="1"/>
  <c r="I106" i="1" s="1"/>
  <c r="E21" i="2" s="1"/>
  <c r="AV107" i="1"/>
  <c r="BC107" i="1"/>
  <c r="AT106" i="1"/>
  <c r="AX99" i="1"/>
  <c r="BC99" i="1" s="1"/>
  <c r="J99" i="1"/>
  <c r="AX94" i="1"/>
  <c r="BC94" i="1" s="1"/>
  <c r="J94" i="1"/>
  <c r="AX90" i="1"/>
  <c r="BC90" i="1" s="1"/>
  <c r="J90" i="1"/>
  <c r="AX86" i="1"/>
  <c r="BC86" i="1" s="1"/>
  <c r="J86" i="1"/>
  <c r="AX82" i="1"/>
  <c r="BC82" i="1" s="1"/>
  <c r="J82" i="1"/>
  <c r="AX78" i="1"/>
  <c r="BC78" i="1" s="1"/>
  <c r="J78" i="1"/>
  <c r="AX73" i="1"/>
  <c r="BC73" i="1" s="1"/>
  <c r="J73" i="1"/>
  <c r="AX69" i="1"/>
  <c r="BC69" i="1" s="1"/>
  <c r="J69" i="1"/>
  <c r="AX65" i="1"/>
  <c r="BC65" i="1" s="1"/>
  <c r="J65" i="1"/>
  <c r="AX61" i="1"/>
  <c r="BC61" i="1" s="1"/>
  <c r="J61" i="1"/>
  <c r="K147" i="1"/>
  <c r="G28" i="2" s="1"/>
  <c r="I28" i="2" s="1"/>
  <c r="AV144" i="1"/>
  <c r="BC142" i="1"/>
  <c r="AV141" i="1"/>
  <c r="I140" i="1"/>
  <c r="E25" i="2" s="1"/>
  <c r="AT140" i="1"/>
  <c r="BC139" i="1"/>
  <c r="AV138" i="1"/>
  <c r="BC137" i="1"/>
  <c r="AV136" i="1"/>
  <c r="BC135" i="1"/>
  <c r="AV134" i="1"/>
  <c r="BC133" i="1"/>
  <c r="AV132" i="1"/>
  <c r="BC131" i="1"/>
  <c r="AV130" i="1"/>
  <c r="BC129" i="1"/>
  <c r="AV128" i="1"/>
  <c r="BC127" i="1"/>
  <c r="AV126" i="1"/>
  <c r="BC125" i="1"/>
  <c r="AV124" i="1"/>
  <c r="BC123" i="1"/>
  <c r="AV122" i="1"/>
  <c r="BC121" i="1"/>
  <c r="AV120" i="1"/>
  <c r="BC119" i="1"/>
  <c r="AV118" i="1"/>
  <c r="I117" i="1"/>
  <c r="E24" i="2" s="1"/>
  <c r="AT117" i="1"/>
  <c r="K117" i="1"/>
  <c r="G24" i="2" s="1"/>
  <c r="I24" i="2" s="1"/>
  <c r="AV114" i="1"/>
  <c r="BC110" i="1"/>
  <c r="AV109" i="1"/>
  <c r="K106" i="1"/>
  <c r="G21" i="2" s="1"/>
  <c r="I21" i="2" s="1"/>
  <c r="BC101" i="1"/>
  <c r="AV99" i="1"/>
  <c r="BC95" i="1"/>
  <c r="AV94" i="1"/>
  <c r="BC91" i="1"/>
  <c r="AV90" i="1"/>
  <c r="BC87" i="1"/>
  <c r="AV86" i="1"/>
  <c r="BC83" i="1"/>
  <c r="AV82" i="1"/>
  <c r="BC79" i="1"/>
  <c r="AV78" i="1"/>
  <c r="BC74" i="1"/>
  <c r="AV73" i="1"/>
  <c r="BC70" i="1"/>
  <c r="AV69" i="1"/>
  <c r="AW64" i="1"/>
  <c r="I64" i="1"/>
  <c r="AV63" i="1"/>
  <c r="BC63" i="1"/>
  <c r="AS44" i="1"/>
  <c r="AU44" i="1"/>
  <c r="BC66" i="1"/>
  <c r="AV65" i="1"/>
  <c r="BC62" i="1"/>
  <c r="AV61" i="1"/>
  <c r="AV60" i="1"/>
  <c r="BC60" i="1"/>
  <c r="AX59" i="1"/>
  <c r="BC59" i="1" s="1"/>
  <c r="J59" i="1"/>
  <c r="AV59" i="1"/>
  <c r="J47" i="1"/>
  <c r="I46" i="1"/>
  <c r="I44" i="1" s="1"/>
  <c r="E20" i="2" s="1"/>
  <c r="BC45" i="1"/>
  <c r="K44" i="1"/>
  <c r="G20" i="2" s="1"/>
  <c r="I20" i="2" s="1"/>
  <c r="I43" i="1"/>
  <c r="I42" i="1" s="1"/>
  <c r="E19" i="2" s="1"/>
  <c r="K42" i="1"/>
  <c r="G19" i="2" s="1"/>
  <c r="I19" i="2" s="1"/>
  <c r="AV41" i="1"/>
  <c r="J41" i="1"/>
  <c r="J39" i="1" s="1"/>
  <c r="F18" i="2" s="1"/>
  <c r="I40" i="1"/>
  <c r="I39" i="1" s="1"/>
  <c r="E18" i="2" s="1"/>
  <c r="K39" i="1"/>
  <c r="G18" i="2" s="1"/>
  <c r="I18" i="2" s="1"/>
  <c r="AV38" i="1"/>
  <c r="J38" i="1"/>
  <c r="J37" i="1" s="1"/>
  <c r="F17" i="2" s="1"/>
  <c r="BC36" i="1"/>
  <c r="AV35" i="1"/>
  <c r="J35" i="1"/>
  <c r="J33" i="1" s="1"/>
  <c r="F16" i="2" s="1"/>
  <c r="I34" i="1"/>
  <c r="I33" i="1" s="1"/>
  <c r="E16" i="2" s="1"/>
  <c r="K33" i="1"/>
  <c r="G16" i="2" s="1"/>
  <c r="I16" i="2" s="1"/>
  <c r="AV32" i="1"/>
  <c r="J32" i="1"/>
  <c r="J30" i="1" s="1"/>
  <c r="F15" i="2" s="1"/>
  <c r="AW27" i="1"/>
  <c r="I27" i="1"/>
  <c r="AV26" i="1"/>
  <c r="BC26" i="1"/>
  <c r="I25" i="1"/>
  <c r="E14" i="2" s="1"/>
  <c r="AT25" i="1"/>
  <c r="AW21" i="1"/>
  <c r="I21" i="1"/>
  <c r="AV20" i="1"/>
  <c r="BC20" i="1"/>
  <c r="AW17" i="1"/>
  <c r="I17" i="1"/>
  <c r="AV16" i="1"/>
  <c r="BC16" i="1"/>
  <c r="C14" i="4"/>
  <c r="C28" i="4"/>
  <c r="F28" i="4" s="1"/>
  <c r="C20" i="4"/>
  <c r="C18" i="4"/>
  <c r="C16" i="4"/>
  <c r="AV57" i="1"/>
  <c r="J57" i="1"/>
  <c r="I56" i="1"/>
  <c r="BC55" i="1"/>
  <c r="BC54" i="1"/>
  <c r="AV53" i="1"/>
  <c r="J53" i="1"/>
  <c r="I52" i="1"/>
  <c r="BC51" i="1"/>
  <c r="BC50" i="1"/>
  <c r="AV49" i="1"/>
  <c r="J49" i="1"/>
  <c r="J44" i="1" s="1"/>
  <c r="F20" i="2" s="1"/>
  <c r="I48" i="1"/>
  <c r="BC47" i="1"/>
  <c r="AT44" i="1"/>
  <c r="AS39" i="1"/>
  <c r="AU39" i="1"/>
  <c r="AS33" i="1"/>
  <c r="AU33" i="1"/>
  <c r="I31" i="1"/>
  <c r="I30" i="1" s="1"/>
  <c r="E15" i="2" s="1"/>
  <c r="AW31" i="1"/>
  <c r="AS30" i="1"/>
  <c r="K30" i="1"/>
  <c r="G15" i="2" s="1"/>
  <c r="I15" i="2" s="1"/>
  <c r="AL31" i="1"/>
  <c r="AU30" i="1" s="1"/>
  <c r="AX28" i="1"/>
  <c r="BC28" i="1" s="1"/>
  <c r="J28" i="1"/>
  <c r="AU25" i="1"/>
  <c r="J25" i="1"/>
  <c r="F14" i="2" s="1"/>
  <c r="AW24" i="1"/>
  <c r="I24" i="1"/>
  <c r="AV23" i="1"/>
  <c r="BC23" i="1"/>
  <c r="I22" i="1"/>
  <c r="E13" i="2" s="1"/>
  <c r="AX18" i="1"/>
  <c r="BC18" i="1" s="1"/>
  <c r="J18" i="1"/>
  <c r="C15" i="4"/>
  <c r="AX14" i="1"/>
  <c r="BC14" i="1" s="1"/>
  <c r="J14" i="1"/>
  <c r="AU13" i="1"/>
  <c r="C27" i="4"/>
  <c r="C19" i="4"/>
  <c r="K13" i="1"/>
  <c r="BC29" i="1"/>
  <c r="K25" i="1"/>
  <c r="G14" i="2" s="1"/>
  <c r="I14" i="2" s="1"/>
  <c r="K22" i="1"/>
  <c r="G13" i="2" s="1"/>
  <c r="I13" i="2" s="1"/>
  <c r="BC19" i="1"/>
  <c r="AV18" i="1"/>
  <c r="BC15" i="1"/>
  <c r="I13" i="1"/>
  <c r="AT13" i="1"/>
  <c r="C21" i="4"/>
  <c r="AS13" i="1"/>
  <c r="AV184" i="1" l="1"/>
  <c r="I12" i="1"/>
  <c r="E11" i="2" s="1"/>
  <c r="E12" i="2"/>
  <c r="K12" i="1"/>
  <c r="G11" i="2" s="1"/>
  <c r="K187" i="1"/>
  <c r="G12" i="2"/>
  <c r="I12" i="2" s="1"/>
  <c r="G36" i="2" s="1"/>
  <c r="BC24" i="1"/>
  <c r="AV24" i="1"/>
  <c r="BC31" i="1"/>
  <c r="AV31" i="1"/>
  <c r="C22" i="4"/>
  <c r="BC17" i="1"/>
  <c r="AV17" i="1"/>
  <c r="BC21" i="1"/>
  <c r="AV21" i="1"/>
  <c r="BC27" i="1"/>
  <c r="AV27" i="1"/>
  <c r="BC64" i="1"/>
  <c r="AV64" i="1"/>
  <c r="BC116" i="1"/>
  <c r="AV116" i="1"/>
  <c r="BC149" i="1"/>
  <c r="AV149" i="1"/>
  <c r="BC68" i="1"/>
  <c r="AV68" i="1"/>
  <c r="BC72" i="1"/>
  <c r="AV72" i="1"/>
  <c r="BC77" i="1"/>
  <c r="AV77" i="1"/>
  <c r="BC81" i="1"/>
  <c r="AV81" i="1"/>
  <c r="BC85" i="1"/>
  <c r="AV85" i="1"/>
  <c r="BC89" i="1"/>
  <c r="AV89" i="1"/>
  <c r="BC93" i="1"/>
  <c r="AV93" i="1"/>
  <c r="BC98" i="1"/>
  <c r="AV98" i="1"/>
  <c r="BC104" i="1"/>
  <c r="AV104" i="1"/>
  <c r="AV14" i="1"/>
  <c r="AV28" i="1"/>
  <c r="C29" i="4"/>
  <c r="F29" i="4" s="1"/>
  <c r="J13" i="1"/>
  <c r="BC108" i="1"/>
  <c r="AV108" i="1"/>
  <c r="BC112" i="1"/>
  <c r="AV112" i="1"/>
  <c r="J117" i="1"/>
  <c r="F24" i="2" s="1"/>
  <c r="BC146" i="1"/>
  <c r="AV146" i="1"/>
  <c r="J12" i="1" l="1"/>
  <c r="F11" i="2" s="1"/>
  <c r="F12" i="2"/>
  <c r="I28" i="4"/>
  <c r="I29" i="4" s="1"/>
</calcChain>
</file>

<file path=xl/sharedStrings.xml><?xml version="1.0" encoding="utf-8"?>
<sst xmlns="http://schemas.openxmlformats.org/spreadsheetml/2006/main" count="2739" uniqueCount="720">
  <si>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</si>
  <si>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</si>
  <si>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</si>
  <si>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</si>
  <si>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</si>
  <si>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</si>
  <si>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</si>
  <si>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</si>
  <si>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</si>
  <si>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</si>
  <si>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</si>
  <si>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</si>
  <si>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</si>
  <si>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</si>
  <si>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</si>
  <si>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</si>
  <si>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</si>
  <si>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</si>
  <si>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</si>
  <si>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</si>
  <si>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</si>
  <si>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</si>
  <si>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</si>
  <si>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</si>
  <si>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</si>
  <si>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</si>
  <si>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</si>
  <si>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</si>
  <si>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</si>
  <si>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</si>
  <si>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</si>
  <si>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</si>
  <si>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</si>
  <si>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</si>
  <si>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</si>
  <si>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</si>
  <si>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</si>
  <si>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</si>
  <si>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</si>
  <si>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</si>
  <si>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</si>
  <si>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</si>
  <si>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</si>
  <si>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</si>
  <si>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</si>
  <si>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</si>
  <si>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</si>
  <si>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</si>
  <si>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</si>
  <si>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</si>
  <si>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</si>
  <si>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</si>
  <si>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</si>
  <si>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</si>
  <si>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</si>
  <si>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</si>
  <si>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</si>
  <si>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</si>
  <si>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</si>
  <si>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</si>
  <si>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</si>
  <si>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</si>
  <si>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</si>
  <si>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</si>
  <si>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</si>
  <si>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</si>
  <si>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</si>
  <si>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</si>
  <si>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</si>
  <si>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</si>
  <si>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</si>
  <si>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</si>
  <si>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</si>
  <si>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</si>
  <si>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</si>
  <si>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</si>
  <si>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</si>
  <si>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</si>
  <si>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</si>
  <si>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</si>
  <si>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</si>
  <si>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</si>
  <si>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</si>
  <si>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</si>
  <si>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</si>
  <si>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</si>
  <si>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</si>
  <si>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</si>
  <si>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</si>
  <si>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</si>
  <si>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</si>
  <si>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</si>
  <si>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</si>
  <si>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</si>
  <si>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</si>
  <si>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</si>
  <si>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</si>
  <si>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</si>
  <si>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</si>
  <si>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</si>
  <si>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</si>
  <si>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</si>
  <si>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</si>
  <si>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</si>
  <si>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</si>
  <si>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</si>
  <si>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</si>
  <si>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</si>
  <si>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</si>
  <si>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</si>
  <si>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</si>
  <si>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</si>
  <si>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</si>
  <si>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</si>
  <si>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</si>
  <si>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</si>
  <si>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</si>
  <si>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</si>
  <si>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</si>
  <si>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</si>
  <si>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</si>
  <si>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</si>
  <si>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</si>
  <si>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</si>
  <si>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</si>
  <si>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</si>
  <si>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</si>
  <si>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</si>
  <si>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</si>
  <si>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</si>
  <si>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</si>
  <si>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</si>
  <si>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</si>
  <si>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</si>
  <si>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</si>
  <si>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</si>
  <si>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</si>
  <si>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</si>
  <si>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</si>
  <si>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</si>
  <si>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</si>
  <si>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</si>
  <si>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</si>
  <si>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</si>
  <si>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</si>
  <si>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</si>
  <si>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</si>
  <si>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</si>
  <si>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</si>
  <si>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</si>
  <si>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</si>
  <si>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Kód</t>
  </si>
  <si>
    <t>110101201RT1</t>
  </si>
  <si>
    <t>110101201RT2</t>
  </si>
  <si>
    <t>110101201RT3</t>
  </si>
  <si>
    <t>110101201RT4</t>
  </si>
  <si>
    <t>110101201RT5</t>
  </si>
  <si>
    <t>113106231R00</t>
  </si>
  <si>
    <t>113107615R00</t>
  </si>
  <si>
    <t>113109340R00</t>
  </si>
  <si>
    <t>132201212R00</t>
  </si>
  <si>
    <t>132201219R00</t>
  </si>
  <si>
    <t>162201102R00</t>
  </si>
  <si>
    <t>167101101R00</t>
  </si>
  <si>
    <t>171201201R00</t>
  </si>
  <si>
    <t>174101101R00</t>
  </si>
  <si>
    <t>184807111R00</t>
  </si>
  <si>
    <t>184807112R00</t>
  </si>
  <si>
    <t>185807151RT1</t>
  </si>
  <si>
    <t>596215040R00</t>
  </si>
  <si>
    <t>901      R00</t>
  </si>
  <si>
    <t>909      R00</t>
  </si>
  <si>
    <t>941955004RT1</t>
  </si>
  <si>
    <t>961043111R00</t>
  </si>
  <si>
    <t>962031113R00</t>
  </si>
  <si>
    <t>962031116R00</t>
  </si>
  <si>
    <t>962031124R00</t>
  </si>
  <si>
    <t>962032231R00</t>
  </si>
  <si>
    <t>962032314R00</t>
  </si>
  <si>
    <t>962032551R00</t>
  </si>
  <si>
    <t>962036992R00</t>
  </si>
  <si>
    <t>962042321R00</t>
  </si>
  <si>
    <t>962052211R00</t>
  </si>
  <si>
    <t>962086106R00</t>
  </si>
  <si>
    <t>963011512R00</t>
  </si>
  <si>
    <t>963012520R00</t>
  </si>
  <si>
    <t>963013610R01</t>
  </si>
  <si>
    <t>963013610R02</t>
  </si>
  <si>
    <t>963014949R00</t>
  </si>
  <si>
    <t>963042819R00</t>
  </si>
  <si>
    <t>963051113R00</t>
  </si>
  <si>
    <t>964011211R00</t>
  </si>
  <si>
    <t>964011391R00</t>
  </si>
  <si>
    <t>964073441R00</t>
  </si>
  <si>
    <t>965041341RT1</t>
  </si>
  <si>
    <t>965042131RT1</t>
  </si>
  <si>
    <t>965042141RT2</t>
  </si>
  <si>
    <t>965042221RT2</t>
  </si>
  <si>
    <t>965043341R00</t>
  </si>
  <si>
    <t>965043341RT1</t>
  </si>
  <si>
    <t>965049111RT2</t>
  </si>
  <si>
    <t>965081702R00</t>
  </si>
  <si>
    <t>965081713R00</t>
  </si>
  <si>
    <t>965081833R00</t>
  </si>
  <si>
    <t>965082941R00</t>
  </si>
  <si>
    <t>966068001RV1</t>
  </si>
  <si>
    <t>966068011RV1</t>
  </si>
  <si>
    <t>966068099RT1</t>
  </si>
  <si>
    <t>966077135RT1</t>
  </si>
  <si>
    <t>968061112R00</t>
  </si>
  <si>
    <t>968061125R00</t>
  </si>
  <si>
    <t>968061126R00</t>
  </si>
  <si>
    <t>968062354R00</t>
  </si>
  <si>
    <t>968062355R00</t>
  </si>
  <si>
    <t>968062356R00</t>
  </si>
  <si>
    <t>968072455R00</t>
  </si>
  <si>
    <t>968072456R00</t>
  </si>
  <si>
    <t>968072556R00</t>
  </si>
  <si>
    <t>968072878R00</t>
  </si>
  <si>
    <t>969011101RA1</t>
  </si>
  <si>
    <t>969011121RA1</t>
  </si>
  <si>
    <t>969021101RA1</t>
  </si>
  <si>
    <t>969021102RA1</t>
  </si>
  <si>
    <t>969021115RA1</t>
  </si>
  <si>
    <t>969031101RA1</t>
  </si>
  <si>
    <t>969031121RA1</t>
  </si>
  <si>
    <t>969041121RA1</t>
  </si>
  <si>
    <t>978011191RT1</t>
  </si>
  <si>
    <t>978013191R00</t>
  </si>
  <si>
    <t>978036191R00</t>
  </si>
  <si>
    <t>978059531R00</t>
  </si>
  <si>
    <t>978059631R00</t>
  </si>
  <si>
    <t>979054441R00</t>
  </si>
  <si>
    <t>H22</t>
  </si>
  <si>
    <t>998223011R00</t>
  </si>
  <si>
    <t>H99</t>
  </si>
  <si>
    <t>998981123R00</t>
  </si>
  <si>
    <t>S</t>
  </si>
  <si>
    <t>979011111R00</t>
  </si>
  <si>
    <t>979081111R00</t>
  </si>
  <si>
    <t>979081121R00</t>
  </si>
  <si>
    <t>979082111R00</t>
  </si>
  <si>
    <t>979082121R00</t>
  </si>
  <si>
    <t>979086112R00</t>
  </si>
  <si>
    <t>979087017R00</t>
  </si>
  <si>
    <t>979087018R00</t>
  </si>
  <si>
    <t>979093111R00</t>
  </si>
  <si>
    <t>979951112R00</t>
  </si>
  <si>
    <t>979990001R00</t>
  </si>
  <si>
    <t>979990101R00</t>
  </si>
  <si>
    <t>979990103R00</t>
  </si>
  <si>
    <t>979990105R00</t>
  </si>
  <si>
    <t>979990108R00</t>
  </si>
  <si>
    <t>979990111R00</t>
  </si>
  <si>
    <t>979990121R00</t>
  </si>
  <si>
    <t>979990144R00</t>
  </si>
  <si>
    <t>979990161R00</t>
  </si>
  <si>
    <t>979990181R00</t>
  </si>
  <si>
    <t>979990182R00</t>
  </si>
  <si>
    <t>979990201R00</t>
  </si>
  <si>
    <t>711</t>
  </si>
  <si>
    <t>711140102R00</t>
  </si>
  <si>
    <t>711140202R00</t>
  </si>
  <si>
    <t>712</t>
  </si>
  <si>
    <t>712400832R00</t>
  </si>
  <si>
    <t>713</t>
  </si>
  <si>
    <t>713101121R00</t>
  </si>
  <si>
    <t>762</t>
  </si>
  <si>
    <t>762331831R00</t>
  </si>
  <si>
    <t>762341811R00</t>
  </si>
  <si>
    <t>762841851R00</t>
  </si>
  <si>
    <t>764</t>
  </si>
  <si>
    <t>764311822R00</t>
  </si>
  <si>
    <t>764321810R00</t>
  </si>
  <si>
    <t>764321840R00</t>
  </si>
  <si>
    <t>764331850R00</t>
  </si>
  <si>
    <t>764352810R00</t>
  </si>
  <si>
    <t>764359810R00</t>
  </si>
  <si>
    <t>764410850R00</t>
  </si>
  <si>
    <t>764453842R00</t>
  </si>
  <si>
    <t>764454801R00</t>
  </si>
  <si>
    <t>764456852R00</t>
  </si>
  <si>
    <t>775</t>
  </si>
  <si>
    <t>775531950R00</t>
  </si>
  <si>
    <t>776</t>
  </si>
  <si>
    <t>776401800RT1</t>
  </si>
  <si>
    <t>776511820RT1</t>
  </si>
  <si>
    <t>776511820RT2</t>
  </si>
  <si>
    <t>776511820RT3</t>
  </si>
  <si>
    <t>M21</t>
  </si>
  <si>
    <t>210290805RA1</t>
  </si>
  <si>
    <t>210290820RA1</t>
  </si>
  <si>
    <t>M22</t>
  </si>
  <si>
    <t>222490805RA1</t>
  </si>
  <si>
    <t>222490820RA1</t>
  </si>
  <si>
    <t>0</t>
  </si>
  <si>
    <t>005 12-1020.R</t>
  </si>
  <si>
    <t>005 12-2010.R</t>
  </si>
  <si>
    <t>005 12-4010.R</t>
  </si>
  <si>
    <t>005 24-1020.R</t>
  </si>
  <si>
    <t>Pavilon F (bez č.p.) - nemocnice Semily, 3.května č.p.421, 513 01 Semily</t>
  </si>
  <si>
    <t>Zkrácený popis / Varianta</t>
  </si>
  <si>
    <t>Rozměry</t>
  </si>
  <si>
    <t>DEMOLICE STARÉHO ŘEDITELSTVÍ</t>
  </si>
  <si>
    <t>Přípravné a přidružené práce</t>
  </si>
  <si>
    <t>Odpojení stavby od médií -dle popisu v Techn.zprávě</t>
  </si>
  <si>
    <t>Vytýčení stávajících sítí</t>
  </si>
  <si>
    <t>Ochrana stávajících sítí na staveništi</t>
  </si>
  <si>
    <t>Průzkum stavby -zda popsané materiály v PD odpovídají skutečnosti</t>
  </si>
  <si>
    <t>Oplocení bezpečnostního prostoru kolem bouraného objektu</t>
  </si>
  <si>
    <t>Rozebrání dlažeb ze zámkové dlažby v kamenivu</t>
  </si>
  <si>
    <t>Odstranění podkladu nad 50 m2,kam.drcené tl.15 cm -skladba PDL 01 + PDL 04</t>
  </si>
  <si>
    <t>Odstranění podkladu pl.do 50 m2, železobeton tl.30 cm -chodník</t>
  </si>
  <si>
    <t>Hloubené vykopávky</t>
  </si>
  <si>
    <t>Hloubení rýh š.do 200 cm hor.3 do 1000m3 -pro vybourání základů</t>
  </si>
  <si>
    <t>Přípl.za lepivost,hloubení rýh 200cm,hor.3</t>
  </si>
  <si>
    <t>Přemístění výkopku</t>
  </si>
  <si>
    <t>Vodorovné přemístění výkopku z hor.1-4 do 50 m -deponie výkopku a vybouraného násypu</t>
  </si>
  <si>
    <t>Vodorovné přemístění výkopku z hor.1-4 do 50 m -z deponie-zásyp (a vybour.násypu)</t>
  </si>
  <si>
    <t>Nakládání výkopku z hor.1-4 v množství do 100 m3 -odvoz na deponii (a vybour.násypu)</t>
  </si>
  <si>
    <t>Nakládání výkopku z hor.1-4 v množství do 100 m3 -z deponie pro zásypy (a vybour.násypu)</t>
  </si>
  <si>
    <t>Konstrukce ze zemin</t>
  </si>
  <si>
    <t>Uložení sypaniny na deponii-sypanina na výšku přes 2m (a vybour.násypu)</t>
  </si>
  <si>
    <t>Zásyp jam,rýh,šachet výkopkem a odstr.násypem se zhut.po vrstvách -po vybour.základů</t>
  </si>
  <si>
    <t>Povrchové úpravy terénu</t>
  </si>
  <si>
    <t>Ochrana stromu bedněním - zřízení</t>
  </si>
  <si>
    <t>Ochrana stromu bedněním - odstranění</t>
  </si>
  <si>
    <t>Zrušení neudržovaných záhonů a náletu</t>
  </si>
  <si>
    <t>Kryty pozemních komunikací, letišť a ploch dlážděných (předlažby)</t>
  </si>
  <si>
    <t>Kladení zámkové dlažby tl. 8 cm do drtě tl. 4 cm -zpětná montáž</t>
  </si>
  <si>
    <t>Hodinové zúčtovací sazby (HZS)</t>
  </si>
  <si>
    <t>HZS-dozor autorizovaného statika</t>
  </si>
  <si>
    <t>HZS-nezmeritelne stavebni prace</t>
  </si>
  <si>
    <t>Lešení a stavební výtahy</t>
  </si>
  <si>
    <t>Lešení lehké pomocné pro bourání a rozebírání vč.přesunu hmot</t>
  </si>
  <si>
    <t>Bourání konstrukcí</t>
  </si>
  <si>
    <t>Bourání základů z betonu proloženého kamenem</t>
  </si>
  <si>
    <t>Bourání příček z cihel pálených plných tl. 65 mm -příčky cih.tl.100 mm</t>
  </si>
  <si>
    <t>Bourání příček z cihel pálených plných tl. 140 mm -přizdívky</t>
  </si>
  <si>
    <t>Bourání příček z cihel pálených děrovan. tl.115 mm -přizdívky CDM tl.100 mm</t>
  </si>
  <si>
    <t>Bourání zdiva z cihel pálených na MVC</t>
  </si>
  <si>
    <t>Bourání pilířů cihelných</t>
  </si>
  <si>
    <t>Bourání zdiva z pórobetonových tvárnic -štítové zdivo z plynosilikát.tvárnic</t>
  </si>
  <si>
    <t>Přípl.za dmtž vrstvy tep.izolace tl. do 50 mm, příčky</t>
  </si>
  <si>
    <t>Bourání zdiva nadzákladového z betonu prostého -zdivo z beton.bloků</t>
  </si>
  <si>
    <t>Bourání zdiva železobetonového nadzákladového</t>
  </si>
  <si>
    <t>Bourání příček z plynosilik. a pórobetonu tl.10 cm</t>
  </si>
  <si>
    <t>Bourání stropů z tvárnic tl.15 cm, nosníky ocelové -tvárnice Hurdis, ocel.nosníky I č.200 -skladba PDL 02</t>
  </si>
  <si>
    <t>Bourání stropů z PZD desek, tl. nad 14 cm -podesta schodiště</t>
  </si>
  <si>
    <t>Vybourání zastropení podlah.kanálů z PZD desek</t>
  </si>
  <si>
    <t>Vybourání boků podlah.kanálů</t>
  </si>
  <si>
    <t>Bourání prefabrikovaných schodnic železobeton.</t>
  </si>
  <si>
    <t>Bourání schodišťových stupňů betonových</t>
  </si>
  <si>
    <t>Bourání ŽB stropů deskových tl. nad 8 cm -stříška nad vstupem</t>
  </si>
  <si>
    <t>Vybourání ŽB překladů prefa  dl.do 3 m, do 50 kg/m</t>
  </si>
  <si>
    <t>Vybourání ŽB věnců</t>
  </si>
  <si>
    <t>Vybourání nosníků ze zdi cihelné dl. 8 m, do 55 kg/m</t>
  </si>
  <si>
    <t>Bourání lehčených mazanin tl. 10 cm, nad 4 m2, ručně, tl. mazaniny 5 - 8 cm -skladba PDL 01</t>
  </si>
  <si>
    <t>Bourání lehčených mazanin tl. 10 cm, nad 4 m2, ručně, tl. mazaniny 5 - 8 cm, skladba PDL 04</t>
  </si>
  <si>
    <t>Bourání lehčených mazanin tl. 10 cm, nad 4 m2, ručně, tl. mazaniny 5 - 8 cm -skladba PDL 02</t>
  </si>
  <si>
    <t>Bourání mazanin betonových  tl. 10 cm, pl. 4 m2, ručně tl. mazaniny 5 - 8 cm -skladba PDL 03</t>
  </si>
  <si>
    <t>Bourání mazanin betonových tl. 10 cm, nad 4 m2, ručně tl. mazaniny 8 - 10 cm -skladba PDL 01 + PDL 04</t>
  </si>
  <si>
    <t>Bourání mazanin betonových tl. nad 10 cm, pl. 1 m2, ručně tl. mazaniny 15 - 20 cm -dno kanálu</t>
  </si>
  <si>
    <t>Bourání podkladů bet., potěr tl. do 10 cm, nad 4 m2 -podlaha PDL 02</t>
  </si>
  <si>
    <t>Bourání podkladů bet., potěr tl. 10 cm, nad 4 m2, ručně mazanina tl. 5 - 8 cm s potěrem</t>
  </si>
  <si>
    <t>Příplatek, bourání mazanin se svař. síťí tl. 10 cm -skladba PDL 01 + PDL 02 + PDL 03 + PDL 04</t>
  </si>
  <si>
    <t>oboustranná výztuž svařovanou sítí</t>
  </si>
  <si>
    <t>Bourání soklíků z dlažeb keramických -skladba PDL 01 + PDL 02 + PDL 04</t>
  </si>
  <si>
    <t>Bourání dlažeb keramických tl.10 mm, nad 1 m2 -skladba PDL 01 + PDL 02 + PDL 04</t>
  </si>
  <si>
    <t>Bourání dlažeb terac.,čedič. tl.nad 30 mm, nad 1 m2 -skladba PDL 03</t>
  </si>
  <si>
    <t>Odstranění násypu tl. nad 20 cm jakékoliv plochy -skladba PDL 04</t>
  </si>
  <si>
    <t>Demontáž dřevěných stěn svislého pláště úplná -materiál obsahující azbest</t>
  </si>
  <si>
    <t>Demontáž dřevěných stěn dělících úplná -materiál obsahující azbest -příčky ve 2.NP</t>
  </si>
  <si>
    <t>Příplatek za manipulaci s materiálem obsahujícím azbest</t>
  </si>
  <si>
    <t>Odstranění doplňkových konstrukcí do 100 kg -sloupy, průvlak, zábradlí</t>
  </si>
  <si>
    <t>Vyvěšení dřevěných okenních křídel pl. do 1,5 m2</t>
  </si>
  <si>
    <t>Vyvěšení dřevěných dveřních křídel pl. do 2 m2</t>
  </si>
  <si>
    <t>Vyvěšení dřevěných dveřních křídel pl. nad 2 m2</t>
  </si>
  <si>
    <t>Vybourání dřevěných rámů oken dvojitých pl. 1 m2</t>
  </si>
  <si>
    <t>Vybourání dřevěných rámů oken dvojitých pl. 2 m2</t>
  </si>
  <si>
    <t>Vybourání dřevěných rámů oken dvojitých pl. 4 m2</t>
  </si>
  <si>
    <t>Vybourání kovových dveřních zárubní pl. do 2 m2</t>
  </si>
  <si>
    <t>Vybourání kovových dveřních zárubní pl. nad 2 m2</t>
  </si>
  <si>
    <t>Vybourání kovových venk.dveří plochy do 5 m2</t>
  </si>
  <si>
    <t>Vybourání mříží pl. do 2 m2</t>
  </si>
  <si>
    <t>Vybourání vodovod.venk.potrubí dl. 1 m, uzavření, zazátkování -provedení dle TZ, bodu 9.1, vč.ekolog.likvidace na skládce</t>
  </si>
  <si>
    <t>Vybourání vodovod.vnitřního -provedení dle TZ, bodu 10.1, vč.ekolog.likvidace na skládce</t>
  </si>
  <si>
    <t>Odstraňovaná zařízení:_x000D_
-	Potrubí do DN 50_x000D_
-	Elektrický zásobník TV (1ks)_x000D_
-	Hydrant (2 ks)_x000D_
-	Výtokové armatury (14 ks)</t>
  </si>
  <si>
    <t>Vybourání kanal.splašk.potrubí k šachtě, utěs.otvoru PUR pěnou -provedení dle TZ, bodu 9.3</t>
  </si>
  <si>
    <t>Vybourání kanal.dešť.potrubí k šachtě, utěs.otvoru PUR pěnou -provedení dle TZ, bodu 9.3</t>
  </si>
  <si>
    <t>Vybourání kanalizace vnitřní -provedení dle TZ, bodu 10.2, vč.ekolog.likvidace na skládce</t>
  </si>
  <si>
    <t>Odstraňovaná zařízení:_x000D_
-	Potrubí do DN 250_x000D_
-	Zařizovací předměty keramické (13 ks)</t>
  </si>
  <si>
    <t>Vybourání teplovodu venk.potrubí 2x dl. 1 m, uzavření, odpojení, zazátkování -provedení dle TZ, bodu 9.2, vč.ekolog.likvidace na skládce</t>
  </si>
  <si>
    <t>Vybourání zařízení vytápění -provedení dle TZ, bodu 10.5, vč.ekolog.likvidace na skládce</t>
  </si>
  <si>
    <t>Odstraňovaná zařízení:_x000D_
-	Potrubí do DN 150_x000D_
-	Vybavení objektové stanice_x000D_
-	Radiátory (10 ks)</t>
  </si>
  <si>
    <t>Vybourání zařízení vzduchotechniky -provedení dle TZ, bodu 10.6, vč.ekolog.likvidace na skládce</t>
  </si>
  <si>
    <t>Odstraňovaná zařízení:_x000D_
-	Potrubí do DN 200_x000D_
-	Ventilátory (cca 2 ks)</t>
  </si>
  <si>
    <t>Prorážení otvorů a ostatní bourací práce</t>
  </si>
  <si>
    <t>Otlučení omítek vnitřních vápenných stropů dřevěných do 100% -skladba STŘ01</t>
  </si>
  <si>
    <t>Otlučení omítek vnitřních stěn v rozsahu do 100 %</t>
  </si>
  <si>
    <t>Otlučení omítek břízolitových v rozsahu 100 %</t>
  </si>
  <si>
    <t>Odsekání vnitřních obkladů stěn nad 2 m2</t>
  </si>
  <si>
    <t>Odsekání vnějších obkladů stěn nad 2 m2</t>
  </si>
  <si>
    <t>Očištění vybour. dlaždic s výplní kamen. těženým -pro zpětnou montáž</t>
  </si>
  <si>
    <t>Komunikace pozemní a letiště</t>
  </si>
  <si>
    <t>Přesun hmot, pozemní komunikace, kryt dlážděný</t>
  </si>
  <si>
    <t>Ostatní přesuny hmot</t>
  </si>
  <si>
    <t>Přesun hmot demolice postup. rozebíráním v. do 10m</t>
  </si>
  <si>
    <t>Přesuny sutí</t>
  </si>
  <si>
    <t>Svislá doprava suti a vybour. hmot za 2.NP a 1.PP</t>
  </si>
  <si>
    <t>Odvoz suti a vybour. hmot na skládku do 1 km</t>
  </si>
  <si>
    <t>Příplatek k odvozu za každý další 1 km</t>
  </si>
  <si>
    <t>Vnitrostaveništní doprava suti do 10 m</t>
  </si>
  <si>
    <t>Příplatek k vnitrost. dopravě suti za dalších 5 m</t>
  </si>
  <si>
    <t>Nakládání nebo překládání suti a vybouraných hmot</t>
  </si>
  <si>
    <t>Odvoz konstrukcí z AZC na skládku do 5 km</t>
  </si>
  <si>
    <t>Odvoz na skládku  AZC, příplatek za dalších 5 km</t>
  </si>
  <si>
    <t>Uložení suti na skládku bez zhutnění</t>
  </si>
  <si>
    <t>Ekologická likvidace železného šrotu na skládce, vč.odvozu a rozřezání (možno uvést i zápornou hodnotu)</t>
  </si>
  <si>
    <t>Poplatek za skládku stavební suti -makadam, teraco, omítky</t>
  </si>
  <si>
    <t>Poplatek za sklád.suti-směs bet.,cihel,plynosil. do 30x30cm</t>
  </si>
  <si>
    <t>Poplatek za skládku suti - beton do 30x30 cm</t>
  </si>
  <si>
    <t>Poplatek za skládku suti-cihel.výrobky do 30x30 cm</t>
  </si>
  <si>
    <t>Poplatek za skládku suti - železobeton</t>
  </si>
  <si>
    <t>Poplatek za skládku suti - stavební keramika</t>
  </si>
  <si>
    <t>Poplatek za skládku suti - asfaltové pásy</t>
  </si>
  <si>
    <t>Poplatek za skládku suti - minerální vata</t>
  </si>
  <si>
    <t>Poplatek za skládku suti - dřevo</t>
  </si>
  <si>
    <t>Poplatek za skládku suti - PVC podlahová krytina</t>
  </si>
  <si>
    <t>Poplatek za skládku suti - koberce</t>
  </si>
  <si>
    <t>Poplatek za skládku suti -azbestocementové výrobky</t>
  </si>
  <si>
    <t>Izolace proti vodě</t>
  </si>
  <si>
    <t>Odstr.izolace proti vlhk.vodor. pásy přitav.,2vrst -skladba PDL 01 + PDL 04</t>
  </si>
  <si>
    <t>Odstr.izolace proti vlhk.svis. pásy přitav.,2vrs</t>
  </si>
  <si>
    <t>Izolace střech (živičné krytiny)</t>
  </si>
  <si>
    <t>Odstranění živičné krytiny střech do 30° 2vrstvé -skladba STŘ 01</t>
  </si>
  <si>
    <t>Izolace tepelné</t>
  </si>
  <si>
    <t>Odstr.tep.izol.stropů,volně,minerál tl.do 100 mm -skladba STŘ 01</t>
  </si>
  <si>
    <t>Konstrukce tesařské</t>
  </si>
  <si>
    <t>Demontáž konstrukcí krovů z vazníků -skladba STŘ 01</t>
  </si>
  <si>
    <t>Demontáž bednění střech rovných z prken hrubých -skladba STŘ 01</t>
  </si>
  <si>
    <t>Demontáž stropních panelů tl.25 mm -skladba STŘ 01</t>
  </si>
  <si>
    <t>Konstrukce klempířské</t>
  </si>
  <si>
    <t>Demont. krytiny, tabule 2 x 1 m, nad 25 m2, do 30° -skladba STŘ 01</t>
  </si>
  <si>
    <t>Demontáž oplechování říms, rš 250 mm, do 30°</t>
  </si>
  <si>
    <t>Demontáž oplechování říms, rš 750 mm, do 30° -stříška nad vstupem (2100x700 mm)</t>
  </si>
  <si>
    <t>Demontáž lemování zdí, rš 400 a 500 mm, do 30° -štítové zdi</t>
  </si>
  <si>
    <t>Demontáž žlabů půlkruh. rovných, rš 330 mm, do 30°</t>
  </si>
  <si>
    <t>Demontáž kotlíku kónického, sklon do 30°</t>
  </si>
  <si>
    <t>Demontáž oplechování parapetů,rš od 100 do 330 mm</t>
  </si>
  <si>
    <t>Demontáž kolen horních dvojitých, 100 mm</t>
  </si>
  <si>
    <t>Demontáž odpadních trub kruhových,D 100 mm</t>
  </si>
  <si>
    <t>Demontáž kolen výtokových.kruhových,D 100 mm</t>
  </si>
  <si>
    <t>Podlahy vlysové a parketové</t>
  </si>
  <si>
    <t>Demontáž podlah z dřevotřísk.desek lepených do asfaltu -skladba PDL 01 + PDL 04</t>
  </si>
  <si>
    <t>Podlahy povlakové</t>
  </si>
  <si>
    <t>Demontáž soklíků nebo lišt, pryžových nebo z PVC, odstranění a uložení na hromady -PVC -skladba PDL 01+ PDL 02 + PDL 04</t>
  </si>
  <si>
    <t>Demontáž soklíků nebo lišt, pryžových nebo z PVC, odstranění a uložení na hromady -koberec -skladba PDL 01+ PDL 02 + PDL 04</t>
  </si>
  <si>
    <t>Odstranění PVC a koberců lepených s podložkou, z ploch nad 20 m2 -PVC -skladba PDL 01+ PDL 02 + PDL 04</t>
  </si>
  <si>
    <t>Odstranění PVC a koberců lepených s podložkou, z ploch 10 - 20 m2 -PVC -skladba PDL 01+ PDL 02 + PDL 04</t>
  </si>
  <si>
    <t>Odstranění PVC a koberců lepených s podložkou, z ploch do 10 m2 -PVC -skladba PDL 01+ PDL 02 + PDL 04</t>
  </si>
  <si>
    <t>Odstranění PVC a koberců lepených s podložkou, z ploch nad 20 m2 -koberec -skladba PDL 01+ PDL 02 + PDL 04</t>
  </si>
  <si>
    <t>Odstranění PVC a koberců lepených s podložkou, z ploch 10 - 20 m2 -koberec -skladba PDL 01+ PDL 02 + PDL 04</t>
  </si>
  <si>
    <t>Odstranění PVC a koberců lepených s podložkou, z ploch do 10 m2 -koberec -skladba PDL 01+ PDL 02 + PDL 04</t>
  </si>
  <si>
    <t>Odstranění PVC a koberců lepených s podložkou, z ploch do 10 m2 -koberec -skladba PDL 03</t>
  </si>
  <si>
    <t>Elektromontáže</t>
  </si>
  <si>
    <t>Odpojení elektro přípojky, odstr.kabelu -provedení dle TZ, bodu 9.5</t>
  </si>
  <si>
    <t>Odstranění vnitřní elektroinstalace -provedení dle TZ, bodu 10.3, vč.ekolog.likvidace na skládce</t>
  </si>
  <si>
    <t>Odstraňovaná zařízení:_x000D_
-	Kabely elektro_x000D_
-	Hromosvod_x000D_
-	Hlavní rozvodnice na fasádě (cca 1 ks)_x000D_
-	Vnitřní domovní rozvaděč (cca 2 ks)_x000D_
-	Zásuvky a vypínače (cca 155 ks)_x000D_
-	Osvětlení (cca 99 ks)</t>
  </si>
  <si>
    <t>Montáže sdělovací a zabezpečovací techniky</t>
  </si>
  <si>
    <t>Odpojení slabopr. a telefon.přípojky, odstr.kabelu -provedení dle TZ, bodu 9.6</t>
  </si>
  <si>
    <t>Odstranění vnitřní slaboproudé elektroinstalace -provedení dle TZ, bodu 10.4, vč.ekolog.likvidace na skládce</t>
  </si>
  <si>
    <t>Odstraňovaná zařízení:_x000D_
-	Kabely elektro_x000D_
-	Antény na střeše a fasádě_x000D_
-	Zásuvky a další_x000D_
-	Server (1 ks)</t>
  </si>
  <si>
    <t>Ostatní náklady</t>
  </si>
  <si>
    <t>Zařízení staveniště</t>
  </si>
  <si>
    <t>Provozní a územní vlivy</t>
  </si>
  <si>
    <t>Koordinační činnost</t>
  </si>
  <si>
    <t>Geodetické práce při a po výstavbě -neuvedené v rozpočtu</t>
  </si>
  <si>
    <t>Doba výstavby:</t>
  </si>
  <si>
    <t>Začátek výstavby:</t>
  </si>
  <si>
    <t>Konec výstavby:</t>
  </si>
  <si>
    <t>Zpracováno dne:</t>
  </si>
  <si>
    <t>MJ</t>
  </si>
  <si>
    <t>hod.</t>
  </si>
  <si>
    <t>kus</t>
  </si>
  <si>
    <t>m</t>
  </si>
  <si>
    <t>m2</t>
  </si>
  <si>
    <t>m3</t>
  </si>
  <si>
    <t>t</t>
  </si>
  <si>
    <t>kg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</si>
  <si>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</si>
  <si>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</si>
  <si>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</si>
  <si>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</si>
  <si>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</si>
  <si>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</si>
  <si>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</si>
  <si>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</si>
  <si>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</si>
  <si>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</si>
  <si>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</si>
  <si>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</si>
  <si>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</si>
  <si>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</si>
  <si>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</si>
  <si>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</si>
  <si>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</si>
  <si>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</si>
  <si>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</si>
  <si>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</si>
  <si>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</si>
  <si>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</si>
  <si>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</si>
  <si>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</si>
  <si>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</si>
  <si>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</si>
  <si>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11_</t>
  </si>
  <si>
    <t>13_</t>
  </si>
  <si>
    <t>16_</t>
  </si>
  <si>
    <t>17_</t>
  </si>
  <si>
    <t>18_</t>
  </si>
  <si>
    <t>59_</t>
  </si>
  <si>
    <t>90_</t>
  </si>
  <si>
    <t>94_</t>
  </si>
  <si>
    <t>96_</t>
  </si>
  <si>
    <t>97_</t>
  </si>
  <si>
    <t>H22_</t>
  </si>
  <si>
    <t>H99_</t>
  </si>
  <si>
    <t>S_</t>
  </si>
  <si>
    <t>711_</t>
  </si>
  <si>
    <t>712_</t>
  </si>
  <si>
    <t>713_</t>
  </si>
  <si>
    <t>762_</t>
  </si>
  <si>
    <t>764_</t>
  </si>
  <si>
    <t>775_</t>
  </si>
  <si>
    <t>776_</t>
  </si>
  <si>
    <t>M21_</t>
  </si>
  <si>
    <t>M22_</t>
  </si>
  <si>
    <t>0_</t>
  </si>
  <si>
    <t>SO 01_1_</t>
  </si>
  <si>
    <t>SO 01_5_</t>
  </si>
  <si>
    <t>SO 01_9_</t>
  </si>
  <si>
    <t>SO 01_71_</t>
  </si>
  <si>
    <t>SO 01_76_</t>
  </si>
  <si>
    <t>SO 01_77_</t>
  </si>
  <si>
    <t>SO 01_0_</t>
  </si>
  <si>
    <t>SO 01_</t>
  </si>
  <si>
    <t>MAT</t>
  </si>
  <si>
    <t>WORK</t>
  </si>
  <si>
    <t>CELK</t>
  </si>
  <si>
    <t>Slepý stavební rozpočet - rekapitulace</t>
  </si>
  <si>
    <t>Objekt</t>
  </si>
  <si>
    <t>Zkrácený popis</t>
  </si>
  <si>
    <t>Náklady (Kč) - dodávka</t>
  </si>
  <si>
    <t>Náklady (Kč) - Montáž</t>
  </si>
  <si>
    <t>Náklady (Kč) - celkem</t>
  </si>
  <si>
    <t>F</t>
  </si>
  <si>
    <t>T</t>
  </si>
  <si>
    <t>Výkaz výměr</t>
  </si>
  <si>
    <t>10   </t>
  </si>
  <si>
    <t>(35+20)*2   </t>
  </si>
  <si>
    <t>45   </t>
  </si>
  <si>
    <t>27,24*7,81+8,21*5,48   </t>
  </si>
  <si>
    <t>19,03*5,03   </t>
  </si>
  <si>
    <t>5   </t>
  </si>
  <si>
    <t>(27,4*1,6*0,6)+(25,64*1,4*0,5)+(18,58*1,9*0,5)+(3,89*1,75*0,65)+(1,7*1,6*1,7)+(4,3*1,6*1,4)   </t>
  </si>
  <si>
    <t>(2,74*1,6*0,9)+(1,5*1,6*0,4)+(1,0*1,6*0,3)+(1,2*1,6*0,6)+(8,92*1,6*2,1)+(8,91*1,6*2,2)   </t>
  </si>
  <si>
    <t>(9,005*1,6*0,7)+(1,9*1,6*1,5)+(2,65*1,6*1,3)+(3,05*1,6*1,1)+(1,85*1,75*1,1)+(1,1*1,75*2,2)   </t>
  </si>
  <si>
    <t>(1,3*1,6*2,2)+(2,85*1,6*0,5)+(3,46*1,4*0,5)+(1,0*2,0*0,9)   </t>
  </si>
  <si>
    <t>192,856   </t>
  </si>
  <si>
    <t>192,856+97,347   </t>
  </si>
  <si>
    <t>50   </t>
  </si>
  <si>
    <t>30   </t>
  </si>
  <si>
    <t>20   </t>
  </si>
  <si>
    <t>28,24*(6,6+1,2)+28,24*(4,85+1,2)+13,04*(7,8+6,05)/2*2   </t>
  </si>
  <si>
    <t>224+313   </t>
  </si>
  <si>
    <t>(27,4*0,6*0,6)+(25,6*0,4*0,5)+(18,58*0,9*0,5)+(3,89*0,75*0,5)+(1,7*0,6*1,7)   </t>
  </si>
  <si>
    <t>(4,39*0,6*1,4)+(2,74*0,6*0,9)+(1,5*0,6*0,4)+(1,0*0,6*0,3)+(1,2*0,6*0,6)   </t>
  </si>
  <si>
    <t>(8,92*0,6*2,1)+(8,91*0,6*2,2)+(9,005*0,6*0,7)+(1,9*0,6*1,5)+(2,65*0,6*1,3)   </t>
  </si>
  <si>
    <t>(3,05*0,6*1,1)+(1,85*0,75*1,1)+(1,1*0,75*2,2)+(1,3*0,6*2,2)+(2,85*0,6*0,5)   </t>
  </si>
  <si>
    <t>(3,46*0,4*0,5)+(1,0*1,0*0,9)   </t>
  </si>
  <si>
    <t>(1,2*2,8)-0,8*2,02+(2,45+0,35)*3,1   </t>
  </si>
  <si>
    <t>(18,88*2,97)+(4,83*2,27)+(4,23+2,4)*1,45   </t>
  </si>
  <si>
    <t>(19,28*1,6)+(8,16*3,1)+(7,82*2,27)-1,8*1,5+(4,75*3,1)   </t>
  </si>
  <si>
    <t>(7,96*3,1*0,4)-0,9*0,6*0,4*4+(13,0*3,1*0,4)-2,1*2,1*0,4   </t>
  </si>
  <si>
    <t>(2,1*2,1*0,4)+(7,81*3,0*0,4)-1,8*1,5*0,4+(26,44*3,0*0,4)-0,9*1,5*0,4*21   </t>
  </si>
  <si>
    <t>(26,44*2,8*0,25)-0,9*2,02*0,25*8-1,7*2,02*0,25   </t>
  </si>
  <si>
    <t>(1,0*0,15*3,1)   </t>
  </si>
  <si>
    <t>(13,04*3,3*0,4)*2-2,1*1,9*0,4*2-1,05*1,9*0,4*2   </t>
  </si>
  <si>
    <t>(13,04*1,6*0,4)/2*2   </t>
  </si>
  <si>
    <t>(23,895+26,44+5,0*8+2,45*2+1,145*2+3,54+2,4+5,0*8)*3,1-0,9*2,02*24-1,7*2,02-0,7*2,02*6-2,25*2,1   </t>
  </si>
  <si>
    <t>(18,73*2,97*0,6)+(4,23*2,27*0,4)   </t>
  </si>
  <si>
    <t>(18,73*0,4*1,6)+(5,23*2,27*0,4)   </t>
  </si>
  <si>
    <t>(4,97*2,8)*7-0,9*2,02   </t>
  </si>
  <si>
    <t>(5,0+2,25*2+1,25*2+1,15)*2*2,8-0,7*2,02*4   </t>
  </si>
  <si>
    <t>(7,26*26,44)+(4,98*4,995)   </t>
  </si>
  <si>
    <t>(2,54*1,65*0,15)   </t>
  </si>
  <si>
    <t>(26,24+7,3)*0,6*0,05+(7,66*0,6*0,05)+(18,18*0,6*0,05)   </t>
  </si>
  <si>
    <t>(26,24+25,84*2+7,5+7,1*2)*0,1*0,25+(7,66*3*0,1*0,25)+(18,18*3*0,1*0,25)   </t>
  </si>
  <si>
    <t>3,06*2   </t>
  </si>
  <si>
    <t>1,2*20   </t>
  </si>
  <si>
    <t>(2,1*0,7*0,15)   </t>
  </si>
  <si>
    <t>(4,9+2,4+26,44+2,4+1,35*2+2,4*2)*0,4*0,3+(8,9*0,25*0,25)   </t>
  </si>
  <si>
    <t>(7,39+27,24+12,34+8,21)*0,4*0,3   </t>
  </si>
  <si>
    <t>259*0,0264   </t>
  </si>
  <si>
    <t>223,8*0,08   </t>
  </si>
  <si>
    <t>93,64*0,08   </t>
  </si>
  <si>
    <t>219,52*0,05   </t>
  </si>
  <si>
    <t>(2,54*1,65*0,05)   </t>
  </si>
  <si>
    <t>(27,24*7,81+8,21*5,48)*0,1   </t>
  </si>
  <si>
    <t>(19,03*5,03)*0,1   </t>
  </si>
  <si>
    <t>(26,24+7,3)*0,6*0,2+(7,66*0,6*0,2)+(18,18*0,6*0,2)   </t>
  </si>
  <si>
    <t>219,52*0,02   </t>
  </si>
  <si>
    <t>(5,63*0,05)   </t>
  </si>
  <si>
    <t>(11,98+11,98+25,22+18,23)*0,05   </t>
  </si>
  <si>
    <t>17,904+7,491+10,976+0,21+35,346+7,126+4,39+3,653   </t>
  </si>
  <si>
    <t>(13,54+16,04+16,04+13,84+7,94+3,9+7,92+3,9)   </t>
  </si>
  <si>
    <t>(6,3+3,89+3,99)   </t>
  </si>
  <si>
    <t>(11,57+17,59+17,59+12,29+3,88+1,32+3,84+1,32)   </t>
  </si>
  <si>
    <t>(2,37+1,31+1,37)   </t>
  </si>
  <si>
    <t>2,54*1,65   </t>
  </si>
  <si>
    <t>(18,18*3,63*1,32)-18,18*0,6*0,17+(18,18*0,95*1,4)/2   </t>
  </si>
  <si>
    <t>(26,44+26,44)*3,0-1,05*1,9*17-1,05*0,6*4-1,05*1,9*21   </t>
  </si>
  <si>
    <t>80,31+384,467   </t>
  </si>
  <si>
    <t>140+65+195   </t>
  </si>
  <si>
    <t>42+63+4+10   </t>
  </si>
  <si>
    <t>14+30   </t>
  </si>
  <si>
    <t>1+1   </t>
  </si>
  <si>
    <t>0,9*0,6*4+1,05*0,6*4   </t>
  </si>
  <si>
    <t>0,9*1,5*21+1,05*1,9*17+1,05*1,9*2+1,05*1,9*21   </t>
  </si>
  <si>
    <t>1,8*1,5+2,1*1,9*2   </t>
  </si>
  <si>
    <t>0,9*2,02*9+0,7*2,02*4+0,8*2,02+0,9*2,02*24+0,7*2,02*6   </t>
  </si>
  <si>
    <t>1,7*2,02+1,7*2,02   </t>
  </si>
  <si>
    <t>1,6*2,1   </t>
  </si>
  <si>
    <t>1,05*1,9*3+0,9*1,5*3   </t>
  </si>
  <si>
    <t>313,16   </t>
  </si>
  <si>
    <t>(18,88+2,63+4,995+2,35+2,54+7,19+26,44+4,82*16+25,74*2+2,19)*2,7   </t>
  </si>
  <si>
    <t>-0,9*2,02*9*2-0,7*2,02*2-0,8*2,02*2-1,7*2,1-1,8*1,5-1,7*2,02-0,9*1,5*21   </t>
  </si>
  <si>
    <t>(14,1*2,7)-0,7*2,02*4-0,9*0,6*4+(11,2*1,2)   </t>
  </si>
  <si>
    <t>(10,424*2)+(12,29*3,0)*2-1,05*1,9*2-2,1*1,9*2   </t>
  </si>
  <si>
    <t>(13,04*3,3)*2-2,1*1,9*2-1,05*1,9*2+(13,04*1,6)/2*2   </t>
  </si>
  <si>
    <t>(27,24*2,98)-0,9*1,5*21   </t>
  </si>
  <si>
    <t>(1,0*2+1,15*8-0,7*2)*1,5   </t>
  </si>
  <si>
    <t>(27,24*0,4)+(4,92*1,1-0,9*0,6*4)+(5,47*0,55+0,25*2*0,55+5,57*0,75)   </t>
  </si>
  <si>
    <t>(7,81*2,16-1,8*1,5)+(4,8+2,1*4)*0,125   </t>
  </si>
  <si>
    <t>3,326   </t>
  </si>
  <si>
    <t>0,047+0,058+0,087+0,051+0,014+0,042+0,079+0,11+0,148+0,108+0,097+0,124+0,069   </t>
  </si>
  <si>
    <t>995,841*0,31   </t>
  </si>
  <si>
    <t>166,892+224,6+262,263+200,879+90,109+5,859+8,795+2,648+33,297+0,224+0,275   </t>
  </si>
  <si>
    <t>995,841*9   </t>
  </si>
  <si>
    <t>995,841*4   </t>
  </si>
  <si>
    <t>10,466   </t>
  </si>
  <si>
    <t>10,466*12   </t>
  </si>
  <si>
    <t>8,652+5,846+0,44+0,06+0,4+0,204+3,105   </t>
  </si>
  <si>
    <t>116,641+0,608+(15,658+7,389+26,596)   </t>
  </si>
  <si>
    <t>160,059+(45,129+19,412)   </t>
  </si>
  <si>
    <t>81,934+10,63+28,646+11,986+17,562+0,462+77,671+15,677+9,658+8,037   </t>
  </si>
  <si>
    <t>15,523+122,163+24,503+1,925+0,843   </t>
  </si>
  <si>
    <t>35,922   </t>
  </si>
  <si>
    <t>12,0+40,191+0,453+4,274+1,68+1,008+0,532+14,007+15,964   </t>
  </si>
  <si>
    <t>0,039+1,489+1,0+3,331   </t>
  </si>
  <si>
    <t>3,443+1,777+3,575   </t>
  </si>
  <si>
    <t>1,269+1,379   </t>
  </si>
  <si>
    <t>0,361+6,814+0,587+8,378+1,587+15,57   </t>
  </si>
  <si>
    <t>0,054+0,073+0,054+0,043   </t>
  </si>
  <si>
    <t>0,059+0,053+0,155+0,004+0,004   </t>
  </si>
  <si>
    <t>2,008+8,458   </t>
  </si>
  <si>
    <t>(26,24+25,84+7,5+7,1*2+7,66+18,18*2)*0,45   </t>
  </si>
  <si>
    <t>(2,62+19,13+5,2+8,11+4,78)*3,0   </t>
  </si>
  <si>
    <t>(26,44*6,76)*2   </t>
  </si>
  <si>
    <t>26,44*13,04   </t>
  </si>
  <si>
    <t>(26,44*2)*2   </t>
  </si>
  <si>
    <t>27,24   </t>
  </si>
  <si>
    <t>2,1   </t>
  </si>
  <si>
    <t>6,76*2*2   </t>
  </si>
  <si>
    <t>26,44*2   </t>
  </si>
  <si>
    <t>4   </t>
  </si>
  <si>
    <t>0,9*21+1,05*2+2,1*2   </t>
  </si>
  <si>
    <t>4,8*2+6,6*2   </t>
  </si>
  <si>
    <t>223,8+93,64   </t>
  </si>
  <si>
    <t>(47,755+16,04)   </t>
  </si>
  <si>
    <t>(14,29+13,89+9,48+13,85+6,05+13,89+7,35+6,3+5,79+3,89+3,99+5,6+10,8)   </t>
  </si>
  <si>
    <t>(13,82+16,04+16,04+5,84)   </t>
  </si>
  <si>
    <t>(31,81+13,89+16,39+13,89+13,89+15,79+12,09+13,89+11,505)   </t>
  </si>
  <si>
    <t>72,71   </t>
  </si>
  <si>
    <t>17,59   </t>
  </si>
  <si>
    <t>12,72+11,98+11,98   </t>
  </si>
  <si>
    <t>8,69+9,41+4,35+3,37+3,2+2,81+1,37+1,31+2,87+5,61   </t>
  </si>
  <si>
    <t>53,25   </t>
  </si>
  <si>
    <t>12,24+17,59+17,59   </t>
  </si>
  <si>
    <t>11,98+18,23+11,98+11,98+18,97+11,98+11,98+10,68   </t>
  </si>
  <si>
    <t>4,19   </t>
  </si>
  <si>
    <t>1   </t>
  </si>
  <si>
    <t>Potřebné množství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</si>
  <si>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</si>
  <si>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</si>
  <si>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</si>
  <si>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</si>
  <si>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</si>
  <si>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</si>
  <si>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</si>
  <si>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</si>
  <si>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</si>
  <si>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</si>
  <si>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</si>
  <si>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</si>
  <si>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</si>
  <si>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</si>
  <si>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</si>
  <si>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</si>
  <si>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DPH 15%</t>
  </si>
  <si>
    <t>DPH 21%</t>
  </si>
  <si>
    <t>Objednatel</t>
  </si>
  <si>
    <t>Celkem bez DPH</t>
  </si>
  <si>
    <t>Celkem včetně DPH</t>
  </si>
  <si>
    <t>Zhotovitel</t>
  </si>
  <si>
    <t>IČ/DIČ:</t>
  </si>
  <si>
    <t>Položek:</t>
  </si>
  <si>
    <t>Datum:</t>
  </si>
  <si>
    <t>"Demoliční práce - budova starého ředitelství v areálu MMN, a.s. v Semilech"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</si>
</sst>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i/>
      <sz val="10"/>
      <color indexed="58"/>
      <name val="Arial"/>
      <charset val="238"/>
    </font>
    <font>
      <i/>
      <sz val="10"/>
      <color indexed="59"/>
      <name val="Arial"/>
      <charset val="238"/>
    </font>
    <font>
      <i/>
      <sz val="9"/>
      <color indexed="61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10"/>
      <name val="Arial"/>
      <charset val="238"/>
    </font>
    <font>
      <b/>
      <sz val="10"/>
      <color indexed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9"/>
      </patternFill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3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3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3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3" fillId="0" borderId="29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8" fillId="3" borderId="7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right" vertical="center"/>
    </xf>
    <xf numFmtId="49" fontId="8" fillId="3" borderId="7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13" fillId="4" borderId="35" xfId="0" applyNumberFormat="1" applyFont="1" applyFill="1" applyBorder="1" applyAlignment="1" applyProtection="1">
      <alignment horizontal="center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" fillId="0" borderId="39" xfId="0" applyNumberFormat="1" applyFont="1" applyFill="1" applyBorder="1" applyAlignment="1" applyProtection="1">
      <alignment vertical="center"/>
    </xf>
    <xf numFmtId="49" fontId="6" fillId="0" borderId="7" xfId="0" applyNumberFormat="1" applyFont="1" applyFill="1" applyBorder="1" applyAlignment="1" applyProtection="1">
      <alignment horizontal="left" vertical="center"/>
    </xf>
    <xf numFmtId="49" fontId="15" fillId="0" borderId="35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5" fillId="0" borderId="35" xfId="0" applyNumberFormat="1" applyFont="1" applyFill="1" applyBorder="1" applyAlignment="1" applyProtection="1">
      <alignment horizontal="right"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4" borderId="42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164" fontId="8" fillId="3" borderId="7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Fill="1" applyBorder="1" applyAlignment="1" applyProtection="1">
      <alignment horizontal="right" vertical="center"/>
    </xf>
    <xf numFmtId="164" fontId="8" fillId="3" borderId="0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49" fontId="17" fillId="2" borderId="7" xfId="0" applyNumberFormat="1" applyFont="1" applyFill="1" applyBorder="1" applyAlignment="1" applyProtection="1">
      <alignment horizontal="left" vertical="center"/>
    </xf>
    <xf numFmtId="49" fontId="18" fillId="2" borderId="7" xfId="0" applyNumberFormat="1" applyFont="1" applyFill="1" applyBorder="1" applyAlignment="1" applyProtection="1">
      <alignment horizontal="left" vertical="center"/>
    </xf>
    <xf numFmtId="4" fontId="18" fillId="2" borderId="7" xfId="0" applyNumberFormat="1" applyFont="1" applyFill="1" applyBorder="1" applyAlignment="1" applyProtection="1">
      <alignment horizontal="right" vertical="center"/>
    </xf>
    <xf numFmtId="49" fontId="18" fillId="2" borderId="7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5" fillId="0" borderId="27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44" xfId="0" applyNumberFormat="1" applyFont="1" applyFill="1" applyBorder="1" applyAlignment="1" applyProtection="1">
      <alignment horizontal="left" vertical="center"/>
    </xf>
    <xf numFmtId="49" fontId="15" fillId="0" borderId="41" xfId="0" applyNumberFormat="1" applyFont="1" applyFill="1" applyBorder="1" applyAlignment="1" applyProtection="1">
      <alignment horizontal="left" vertical="center"/>
    </xf>
    <xf numFmtId="0" fontId="15" fillId="0" borderId="9" xfId="0" applyNumberFormat="1" applyFont="1" applyFill="1" applyBorder="1" applyAlignment="1" applyProtection="1">
      <alignment horizontal="left" vertical="center"/>
    </xf>
    <xf numFmtId="0" fontId="15" fillId="0" borderId="45" xfId="0" applyNumberFormat="1" applyFont="1" applyFill="1" applyBorder="1" applyAlignment="1" applyProtection="1">
      <alignment horizontal="left" vertical="center"/>
    </xf>
    <xf numFmtId="49" fontId="14" fillId="4" borderId="38" xfId="0" applyNumberFormat="1" applyFont="1" applyFill="1" applyBorder="1" applyAlignment="1" applyProtection="1">
      <alignment horizontal="left" vertical="center"/>
    </xf>
    <xf numFmtId="0" fontId="14" fillId="4" borderId="34" xfId="0" applyNumberFormat="1" applyFont="1" applyFill="1" applyBorder="1" applyAlignment="1" applyProtection="1">
      <alignment horizontal="left" vertical="center"/>
    </xf>
    <xf numFmtId="49" fontId="15" fillId="0" borderId="40" xfId="0" applyNumberFormat="1" applyFont="1" applyFill="1" applyBorder="1" applyAlignment="1" applyProtection="1">
      <alignment horizontal="left" vertical="center"/>
    </xf>
    <xf numFmtId="0" fontId="15" fillId="0" borderId="7" xfId="0" applyNumberFormat="1" applyFont="1" applyFill="1" applyBorder="1" applyAlignment="1" applyProtection="1">
      <alignment horizontal="left" vertical="center"/>
    </xf>
    <xf numFmtId="0" fontId="15" fillId="0" borderId="43" xfId="0" applyNumberFormat="1" applyFont="1" applyFill="1" applyBorder="1" applyAlignment="1" applyProtection="1">
      <alignment horizontal="left" vertical="center"/>
    </xf>
    <xf numFmtId="49" fontId="14" fillId="0" borderId="38" xfId="0" applyNumberFormat="1" applyFont="1" applyFill="1" applyBorder="1" applyAlignment="1" applyProtection="1">
      <alignment horizontal="left" vertical="center"/>
    </xf>
    <xf numFmtId="0" fontId="14" fillId="0" borderId="42" xfId="0" applyNumberFormat="1" applyFont="1" applyFill="1" applyBorder="1" applyAlignment="1" applyProtection="1">
      <alignment horizontal="left" vertical="center"/>
    </xf>
    <xf numFmtId="49" fontId="12" fillId="0" borderId="34" xfId="0" applyNumberFormat="1" applyFont="1" applyFill="1" applyBorder="1" applyAlignment="1" applyProtection="1">
      <alignment horizontal="center" vertical="center"/>
    </xf>
    <xf numFmtId="0" fontId="12" fillId="0" borderId="34" xfId="0" applyNumberFormat="1" applyFont="1" applyFill="1" applyBorder="1" applyAlignment="1" applyProtection="1">
      <alignment horizontal="center" vertical="center"/>
    </xf>
    <xf numFmtId="49" fontId="16" fillId="0" borderId="38" xfId="0" applyNumberFormat="1" applyFont="1" applyFill="1" applyBorder="1" applyAlignment="1" applyProtection="1">
      <alignment horizontal="left" vertical="center"/>
    </xf>
    <xf numFmtId="0" fontId="16" fillId="0" borderId="4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3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6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  <xf numFmtId="49" fontId="3" fillId="0" borderId="30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left" vertical="center"/>
    </xf>
    <xf numFmtId="0" fontId="8" fillId="3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18" fillId="2" borderId="7" xfId="0" applyNumberFormat="1" applyFont="1" applyFill="1" applyBorder="1" applyAlignment="1" applyProtection="1">
      <alignment horizontal="left" vertical="center"/>
    </xf>
    <xf numFmtId="0" fontId="7" fillId="2" borderId="7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49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49" fontId="8" fillId="3" borderId="7" xfId="0" applyNumberFormat="1" applyFont="1" applyFill="1" applyBorder="1" applyAlignment="1" applyProtection="1">
      <alignment horizontal="left" vertical="center"/>
    </xf>
    <xf numFmtId="0" fontId="8" fillId="3" borderId="7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49" fontId="13" fillId="0" borderId="8" xfId="0" applyNumberFormat="1" applyFont="1" applyFill="1" applyBorder="1" applyAlignment="1" applyProtection="1">
      <alignment horizontal="center" vertical="center"/>
    </xf>
    <xf numFmtId="49" fontId="13" fillId="0" borderId="23" xfId="0" applyNumberFormat="1" applyFont="1" applyFill="1" applyBorder="1" applyAlignment="1" applyProtection="1">
      <alignment horizontal="center" vertical="center"/>
    </xf>
    <xf numFmtId="49" fontId="13" fillId="0" borderId="3" xfId="0" applyNumberFormat="1" applyFont="1" applyFill="1" applyBorder="1" applyAlignment="1" applyProtection="1">
      <alignment horizontal="center" vertical="center"/>
    </xf>
    <xf numFmtId="49" fontId="13" fillId="0" borderId="0" xfId="0" applyNumberFormat="1" applyFont="1" applyFill="1" applyBorder="1" applyAlignment="1" applyProtection="1">
      <alignment horizontal="center" vertical="center"/>
    </xf>
    <xf numFmtId="49" fontId="13" fillId="0" borderId="24" xfId="0" applyNumberFormat="1" applyFont="1" applyFill="1" applyBorder="1" applyAlignment="1" applyProtection="1">
      <alignment horizontal="center" vertical="center"/>
    </xf>
    <xf numFmtId="49" fontId="13" fillId="0" borderId="33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/>
    </xf>
    <xf numFmtId="49" fontId="13" fillId="0" borderId="46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866775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67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>
      <selection activeCell="L19" sqref="L19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7"/>
      <c r="B1" s="44"/>
      <c r="C1" s="95" t="s">
        <v>709</v>
      </c>
      <c r="D1" s="96"/>
      <c r="E1" s="96"/>
      <c r="F1" s="96"/>
      <c r="G1" s="96"/>
      <c r="H1" s="96"/>
      <c r="I1" s="96"/>
    </row>
    <row r="2" spans="1:10" x14ac:dyDescent="0.2">
      <c r="A2" s="97" t="s">
        <v>1</v>
      </c>
      <c r="B2" s="98"/>
      <c r="C2" s="99" t="str">
        <f>'Stavební rozpočet'!C2</f>
        <v>"Demoliční práce - budova starého ředitelství v areálu MMN, a.s. v Semilech"</v>
      </c>
      <c r="D2" s="100"/>
      <c r="E2" s="102" t="s">
        <v>491</v>
      </c>
      <c r="F2" s="102" t="str">
        <f>'Stavební rozpočet'!I2</f>
        <v> </v>
      </c>
      <c r="G2" s="98"/>
      <c r="H2" s="102" t="s">
        <v>716</v>
      </c>
      <c r="I2" s="103"/>
      <c r="J2" s="26"/>
    </row>
    <row r="3" spans="1:10" ht="25.7" customHeight="1" x14ac:dyDescent="0.2">
      <c r="A3" s="92"/>
      <c r="B3" s="68"/>
      <c r="C3" s="101"/>
      <c r="D3" s="101"/>
      <c r="E3" s="68"/>
      <c r="F3" s="68"/>
      <c r="G3" s="68"/>
      <c r="H3" s="68"/>
      <c r="I3" s="94"/>
      <c r="J3" s="26"/>
    </row>
    <row r="4" spans="1:10" x14ac:dyDescent="0.2">
      <c r="A4" s="86" t="s">
        <v>2</v>
      </c>
      <c r="B4" s="68"/>
      <c r="C4" s="67" t="str">
        <f>'Stavební rozpočet'!C4</f>
        <v xml:space="preserve"> </v>
      </c>
      <c r="D4" s="68"/>
      <c r="E4" s="67" t="s">
        <v>492</v>
      </c>
      <c r="F4" s="67" t="str">
        <f>'Stavební rozpočet'!I4</f>
        <v> </v>
      </c>
      <c r="G4" s="68"/>
      <c r="H4" s="67" t="s">
        <v>716</v>
      </c>
      <c r="I4" s="93"/>
      <c r="J4" s="26"/>
    </row>
    <row r="5" spans="1:10" x14ac:dyDescent="0.2">
      <c r="A5" s="92"/>
      <c r="B5" s="68"/>
      <c r="C5" s="68"/>
      <c r="D5" s="68"/>
      <c r="E5" s="68"/>
      <c r="F5" s="68"/>
      <c r="G5" s="68"/>
      <c r="H5" s="68"/>
      <c r="I5" s="94"/>
      <c r="J5" s="26"/>
    </row>
    <row r="6" spans="1:10" x14ac:dyDescent="0.2">
      <c r="A6" s="86" t="s">
        <v>3</v>
      </c>
      <c r="B6" s="68"/>
      <c r="C6" s="67" t="str">
        <f>'Stavební rozpočet'!C6</f>
        <v>Pavilon F (bez č.p.) - nemocnice Semily, 3.května č.p.421, 513 01 Semily</v>
      </c>
      <c r="D6" s="68"/>
      <c r="E6" s="67" t="s">
        <v>493</v>
      </c>
      <c r="F6" s="67" t="str">
        <f>'Stavební rozpočet'!I6</f>
        <v> </v>
      </c>
      <c r="G6" s="68"/>
      <c r="H6" s="67" t="s">
        <v>716</v>
      </c>
      <c r="I6" s="93"/>
      <c r="J6" s="26"/>
    </row>
    <row r="7" spans="1:10" ht="25.7" customHeight="1" x14ac:dyDescent="0.2">
      <c r="A7" s="92"/>
      <c r="B7" s="68"/>
      <c r="C7" s="68"/>
      <c r="D7" s="68"/>
      <c r="E7" s="68"/>
      <c r="F7" s="68"/>
      <c r="G7" s="68"/>
      <c r="H7" s="68"/>
      <c r="I7" s="94"/>
      <c r="J7" s="26"/>
    </row>
    <row r="8" spans="1:10" x14ac:dyDescent="0.2">
      <c r="A8" s="86" t="s">
        <v>479</v>
      </c>
      <c r="B8" s="68"/>
      <c r="C8" s="67"/>
      <c r="D8" s="68"/>
      <c r="E8" s="67" t="s">
        <v>480</v>
      </c>
      <c r="F8" s="67" t="str">
        <f>'Stavební rozpočet'!F6</f>
        <v xml:space="preserve"> </v>
      </c>
      <c r="G8" s="68"/>
      <c r="H8" s="89" t="s">
        <v>717</v>
      </c>
      <c r="I8" s="93" t="s">
        <v>150</v>
      </c>
      <c r="J8" s="26"/>
    </row>
    <row r="9" spans="1:10" x14ac:dyDescent="0.2">
      <c r="A9" s="92"/>
      <c r="B9" s="68"/>
      <c r="C9" s="68"/>
      <c r="D9" s="68"/>
      <c r="E9" s="68"/>
      <c r="F9" s="68"/>
      <c r="G9" s="68"/>
      <c r="H9" s="68"/>
      <c r="I9" s="94"/>
      <c r="J9" s="26"/>
    </row>
    <row r="10" spans="1:10" x14ac:dyDescent="0.2">
      <c r="A10" s="86" t="s">
        <v>4</v>
      </c>
      <c r="B10" s="68"/>
      <c r="C10" s="67" t="str">
        <f>'Stavební rozpočet'!C8</f>
        <v xml:space="preserve"> </v>
      </c>
      <c r="D10" s="68"/>
      <c r="E10" s="67" t="s">
        <v>494</v>
      </c>
      <c r="F10" s="67" t="str">
        <f>'Stavební rozpočet'!I8</f>
        <v> </v>
      </c>
      <c r="G10" s="68"/>
      <c r="H10" s="89" t="s">
        <v>718</v>
      </c>
      <c r="I10" s="90"/>
      <c r="J10" s="26"/>
    </row>
    <row r="11" spans="1:10" x14ac:dyDescent="0.2">
      <c r="A11" s="87"/>
      <c r="B11" s="88"/>
      <c r="C11" s="88"/>
      <c r="D11" s="88"/>
      <c r="E11" s="88"/>
      <c r="F11" s="88"/>
      <c r="G11" s="88"/>
      <c r="H11" s="88"/>
      <c r="I11" s="91"/>
      <c r="J11" s="26"/>
    </row>
    <row r="12" spans="1:10" ht="23.45" customHeight="1" x14ac:dyDescent="0.2">
      <c r="A12" s="82" t="s">
        <v>694</v>
      </c>
      <c r="B12" s="83"/>
      <c r="C12" s="83"/>
      <c r="D12" s="83"/>
      <c r="E12" s="83"/>
      <c r="F12" s="83"/>
      <c r="G12" s="83"/>
      <c r="H12" s="83"/>
      <c r="I12" s="83"/>
    </row>
    <row r="13" spans="1:10" ht="26.45" customHeight="1" x14ac:dyDescent="0.2">
      <c r="A13" s="45" t="s">
        <v>695</v>
      </c>
      <c r="B13" s="84" t="s">
        <v>707</v>
      </c>
      <c r="C13" s="85"/>
      <c r="D13" s="139"/>
      <c r="E13" s="140"/>
      <c r="F13" s="141"/>
      <c r="G13" s="139"/>
      <c r="H13" s="140"/>
      <c r="I13" s="141"/>
      <c r="J13" s="138"/>
    </row>
    <row r="14" spans="1:10" ht="15.2" customHeight="1" x14ac:dyDescent="0.2">
      <c r="A14" s="46" t="s">
        <v>696</v>
      </c>
      <c r="B14" s="50" t="s">
        <v>708</v>
      </c>
      <c r="C14" s="54">
        <f>SUM('Stavební rozpočet'!AB12:AB186)</f>
        <v>0</v>
      </c>
      <c r="D14" s="142"/>
      <c r="E14" s="143"/>
      <c r="F14" s="144"/>
      <c r="G14" s="142"/>
      <c r="H14" s="143"/>
      <c r="I14" s="144"/>
      <c r="J14" s="138"/>
    </row>
    <row r="15" spans="1:10" ht="15.2" customHeight="1" x14ac:dyDescent="0.2">
      <c r="A15" s="47"/>
      <c r="B15" s="50" t="s">
        <v>501</v>
      </c>
      <c r="C15" s="54">
        <f>SUM('Stavební rozpočet'!AC12:AC186)</f>
        <v>0</v>
      </c>
      <c r="D15" s="142"/>
      <c r="E15" s="143"/>
      <c r="F15" s="144"/>
      <c r="G15" s="142"/>
      <c r="H15" s="143"/>
      <c r="I15" s="144"/>
      <c r="J15" s="138"/>
    </row>
    <row r="16" spans="1:10" ht="15.2" customHeight="1" x14ac:dyDescent="0.2">
      <c r="A16" s="46" t="s">
        <v>697</v>
      </c>
      <c r="B16" s="50" t="s">
        <v>708</v>
      </c>
      <c r="C16" s="54">
        <f>SUM('Stavební rozpočet'!AD12:AD186)</f>
        <v>0</v>
      </c>
      <c r="D16" s="142"/>
      <c r="E16" s="143"/>
      <c r="F16" s="144"/>
      <c r="G16" s="142"/>
      <c r="H16" s="143"/>
      <c r="I16" s="144"/>
      <c r="J16" s="138"/>
    </row>
    <row r="17" spans="1:10" ht="15.2" customHeight="1" x14ac:dyDescent="0.2">
      <c r="A17" s="47"/>
      <c r="B17" s="50" t="s">
        <v>501</v>
      </c>
      <c r="C17" s="54">
        <f>SUM('Stavební rozpočet'!AE12:AE186)</f>
        <v>0</v>
      </c>
      <c r="D17" s="142"/>
      <c r="E17" s="143"/>
      <c r="F17" s="144"/>
      <c r="G17" s="142"/>
      <c r="H17" s="143"/>
      <c r="I17" s="144"/>
      <c r="J17" s="138"/>
    </row>
    <row r="18" spans="1:10" ht="15.2" customHeight="1" x14ac:dyDescent="0.2">
      <c r="A18" s="46" t="s">
        <v>698</v>
      </c>
      <c r="B18" s="50" t="s">
        <v>708</v>
      </c>
      <c r="C18" s="54">
        <f>SUM('Stavební rozpočet'!AF12:AF186)</f>
        <v>0</v>
      </c>
      <c r="D18" s="142"/>
      <c r="E18" s="143"/>
      <c r="F18" s="144"/>
      <c r="G18" s="142"/>
      <c r="H18" s="143"/>
      <c r="I18" s="144"/>
      <c r="J18" s="138"/>
    </row>
    <row r="19" spans="1:10" ht="15.2" customHeight="1" x14ac:dyDescent="0.2">
      <c r="A19" s="47"/>
      <c r="B19" s="50" t="s">
        <v>501</v>
      </c>
      <c r="C19" s="54">
        <f>SUM('Stavební rozpočet'!AG12:AG186)</f>
        <v>0</v>
      </c>
      <c r="D19" s="142"/>
      <c r="E19" s="143"/>
      <c r="F19" s="144"/>
      <c r="G19" s="142"/>
      <c r="H19" s="143"/>
      <c r="I19" s="144"/>
      <c r="J19" s="138"/>
    </row>
    <row r="20" spans="1:10" ht="15.2" customHeight="1" x14ac:dyDescent="0.2">
      <c r="A20" s="80" t="s">
        <v>699</v>
      </c>
      <c r="B20" s="81"/>
      <c r="C20" s="54">
        <f>SUM('Stavební rozpočet'!AH12:AH186)</f>
        <v>0</v>
      </c>
      <c r="D20" s="142"/>
      <c r="E20" s="143"/>
      <c r="F20" s="144"/>
      <c r="G20" s="142"/>
      <c r="H20" s="143"/>
      <c r="I20" s="144"/>
      <c r="J20" s="138"/>
    </row>
    <row r="21" spans="1:10" ht="15.2" customHeight="1" x14ac:dyDescent="0.2">
      <c r="A21" s="80" t="s">
        <v>700</v>
      </c>
      <c r="B21" s="81"/>
      <c r="C21" s="54">
        <f>SUM('Stavební rozpočet'!Z12:Z186)</f>
        <v>0</v>
      </c>
      <c r="D21" s="142"/>
      <c r="E21" s="143"/>
      <c r="F21" s="144"/>
      <c r="G21" s="142"/>
      <c r="H21" s="143"/>
      <c r="I21" s="144"/>
      <c r="J21" s="138"/>
    </row>
    <row r="22" spans="1:10" ht="16.7" customHeight="1" x14ac:dyDescent="0.2">
      <c r="A22" s="80" t="s">
        <v>701</v>
      </c>
      <c r="B22" s="81"/>
      <c r="C22" s="54">
        <f>SUM(C14:C21)</f>
        <v>0</v>
      </c>
      <c r="D22" s="142"/>
      <c r="E22" s="143"/>
      <c r="F22" s="144"/>
      <c r="G22" s="142"/>
      <c r="H22" s="143"/>
      <c r="I22" s="144"/>
      <c r="J22" s="138"/>
    </row>
    <row r="23" spans="1:10" ht="15.2" customHeight="1" x14ac:dyDescent="0.2">
      <c r="A23" s="6"/>
      <c r="B23" s="6"/>
      <c r="C23" s="52"/>
      <c r="D23" s="145"/>
      <c r="E23" s="146"/>
      <c r="F23" s="147"/>
      <c r="G23" s="142"/>
      <c r="H23" s="143"/>
      <c r="I23" s="144"/>
      <c r="J23" s="138"/>
    </row>
    <row r="24" spans="1:10" ht="15.2" customHeight="1" x14ac:dyDescent="0.2">
      <c r="D24" s="138"/>
      <c r="E24" s="138"/>
      <c r="F24" s="55"/>
      <c r="G24" s="142"/>
      <c r="H24" s="143"/>
      <c r="I24" s="144"/>
    </row>
    <row r="25" spans="1:10" ht="15.2" customHeight="1" x14ac:dyDescent="0.2">
      <c r="F25" s="55"/>
      <c r="G25" s="145"/>
      <c r="H25" s="146"/>
      <c r="I25" s="147"/>
      <c r="J25" s="138"/>
    </row>
    <row r="26" spans="1:10" x14ac:dyDescent="0.2">
      <c r="A26" s="44"/>
      <c r="B26" s="44"/>
      <c r="C26" s="44"/>
      <c r="G26" s="6"/>
      <c r="H26" s="6"/>
      <c r="I26" s="6"/>
    </row>
    <row r="27" spans="1:10" ht="15.2" customHeight="1" x14ac:dyDescent="0.2">
      <c r="A27" s="75" t="s">
        <v>702</v>
      </c>
      <c r="B27" s="76"/>
      <c r="C27" s="56">
        <f>SUM('Stavební rozpočet'!AJ12:AJ186)</f>
        <v>0</v>
      </c>
      <c r="D27" s="53"/>
      <c r="E27" s="44"/>
      <c r="F27" s="44"/>
      <c r="G27" s="44"/>
      <c r="H27" s="44"/>
      <c r="I27" s="44"/>
    </row>
    <row r="28" spans="1:10" ht="15.2" customHeight="1" x14ac:dyDescent="0.2">
      <c r="A28" s="75" t="s">
        <v>703</v>
      </c>
      <c r="B28" s="76"/>
      <c r="C28" s="56">
        <f>SUM('Stavební rozpočet'!AK12:AK186)</f>
        <v>0</v>
      </c>
      <c r="D28" s="75" t="s">
        <v>710</v>
      </c>
      <c r="E28" s="76"/>
      <c r="F28" s="56">
        <f>ROUND(C28*(15/100),2)</f>
        <v>0</v>
      </c>
      <c r="G28" s="75" t="s">
        <v>713</v>
      </c>
      <c r="H28" s="76"/>
      <c r="I28" s="56">
        <f>SUM(C27:C29)</f>
        <v>0</v>
      </c>
      <c r="J28" s="26"/>
    </row>
    <row r="29" spans="1:10" ht="15.2" customHeight="1" x14ac:dyDescent="0.2">
      <c r="A29" s="75" t="s">
        <v>704</v>
      </c>
      <c r="B29" s="76"/>
      <c r="C29" s="56">
        <f>SUM('Stavební rozpočet'!AL12:AL186)+(F22+I22+F23+I23+I24+I25)</f>
        <v>0</v>
      </c>
      <c r="D29" s="75" t="s">
        <v>711</v>
      </c>
      <c r="E29" s="76"/>
      <c r="F29" s="56">
        <f>ROUND(C29*(21/100),2)</f>
        <v>0</v>
      </c>
      <c r="G29" s="75" t="s">
        <v>714</v>
      </c>
      <c r="H29" s="76"/>
      <c r="I29" s="56">
        <f>SUM(F28:F29)+I28</f>
        <v>0</v>
      </c>
      <c r="J29" s="26"/>
    </row>
    <row r="30" spans="1:10" x14ac:dyDescent="0.2">
      <c r="A30" s="48"/>
      <c r="B30" s="48"/>
      <c r="C30" s="48"/>
      <c r="D30" s="48"/>
      <c r="E30" s="48"/>
      <c r="F30" s="48"/>
      <c r="G30" s="48"/>
      <c r="H30" s="48"/>
      <c r="I30" s="48"/>
    </row>
    <row r="31" spans="1:10" ht="14.45" customHeight="1" x14ac:dyDescent="0.2">
      <c r="A31" s="77" t="s">
        <v>705</v>
      </c>
      <c r="B31" s="78"/>
      <c r="C31" s="79"/>
      <c r="D31" s="77" t="s">
        <v>712</v>
      </c>
      <c r="E31" s="78"/>
      <c r="F31" s="79"/>
      <c r="G31" s="77" t="s">
        <v>715</v>
      </c>
      <c r="H31" s="78"/>
      <c r="I31" s="79"/>
      <c r="J31" s="27"/>
    </row>
    <row r="32" spans="1:10" ht="14.45" customHeight="1" x14ac:dyDescent="0.2">
      <c r="A32" s="69"/>
      <c r="B32" s="70"/>
      <c r="C32" s="71"/>
      <c r="D32" s="69"/>
      <c r="E32" s="70"/>
      <c r="F32" s="71"/>
      <c r="G32" s="69"/>
      <c r="H32" s="70"/>
      <c r="I32" s="71"/>
      <c r="J32" s="27"/>
    </row>
    <row r="33" spans="1:10" ht="14.45" customHeight="1" x14ac:dyDescent="0.2">
      <c r="A33" s="69"/>
      <c r="B33" s="70"/>
      <c r="C33" s="71"/>
      <c r="D33" s="69"/>
      <c r="E33" s="70"/>
      <c r="F33" s="71"/>
      <c r="G33" s="69"/>
      <c r="H33" s="70"/>
      <c r="I33" s="71"/>
      <c r="J33" s="27"/>
    </row>
    <row r="34" spans="1:10" ht="14.45" customHeight="1" x14ac:dyDescent="0.2">
      <c r="A34" s="69"/>
      <c r="B34" s="70"/>
      <c r="C34" s="71"/>
      <c r="D34" s="69"/>
      <c r="E34" s="70"/>
      <c r="F34" s="71"/>
      <c r="G34" s="69"/>
      <c r="H34" s="70"/>
      <c r="I34" s="71"/>
      <c r="J34" s="27"/>
    </row>
    <row r="35" spans="1:10" ht="14.45" customHeight="1" x14ac:dyDescent="0.2">
      <c r="A35" s="72" t="s">
        <v>706</v>
      </c>
      <c r="B35" s="73"/>
      <c r="C35" s="74"/>
      <c r="D35" s="72" t="s">
        <v>706</v>
      </c>
      <c r="E35" s="73"/>
      <c r="F35" s="74"/>
      <c r="G35" s="72" t="s">
        <v>706</v>
      </c>
      <c r="H35" s="73"/>
      <c r="I35" s="74"/>
      <c r="J35" s="27"/>
    </row>
    <row r="36" spans="1:10" ht="11.25" customHeight="1" x14ac:dyDescent="0.2">
      <c r="A36" s="49"/>
      <c r="B36" s="51"/>
      <c r="C36" s="51"/>
      <c r="D36" s="51"/>
      <c r="E36" s="51"/>
      <c r="F36" s="51"/>
      <c r="G36" s="51"/>
      <c r="H36" s="51"/>
      <c r="I36" s="51"/>
    </row>
    <row r="37" spans="1:10" x14ac:dyDescent="0.2">
      <c r="A37" s="67"/>
      <c r="B37" s="68"/>
      <c r="C37" s="68"/>
      <c r="D37" s="68"/>
      <c r="E37" s="68"/>
      <c r="F37" s="68"/>
      <c r="G37" s="68"/>
      <c r="H37" s="68"/>
      <c r="I37" s="68"/>
    </row>
  </sheetData>
  <mergeCells count="61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D13:F23"/>
    <mergeCell ref="G13:I25"/>
    <mergeCell ref="A20:B20"/>
    <mergeCell ref="A28:B28"/>
    <mergeCell ref="D28:E28"/>
    <mergeCell ref="G28:H28"/>
    <mergeCell ref="A21:B21"/>
    <mergeCell ref="A22:B22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pane ySplit="10" topLeftCell="A11" activePane="bottomLeft" state="frozenSplit"/>
      <selection pane="bottomLeft" activeCell="A2" sqref="A2:A3"/>
    </sheetView>
  </sheetViews>
  <sheetFormatPr defaultColWidth="11.5703125" defaultRowHeight="12.75" x14ac:dyDescent="0.2"/>
  <cols>
    <col min="1" max="2" width="16.5703125" customWidth="1"/>
    <col min="3" max="3" width="41.7109375" customWidth="1"/>
    <col min="5" max="5" width="22.140625" hidden="1" customWidth="1"/>
    <col min="6" max="6" width="21" hidden="1" customWidth="1"/>
    <col min="7" max="7" width="20.85546875" customWidth="1"/>
    <col min="8" max="9" width="0" hidden="1" customWidth="1"/>
  </cols>
  <sheetData>
    <row r="1" spans="1:9" ht="72.95" customHeight="1" x14ac:dyDescent="0.35">
      <c r="A1" s="111" t="s">
        <v>550</v>
      </c>
      <c r="B1" s="96"/>
      <c r="C1" s="96"/>
      <c r="D1" s="96"/>
      <c r="E1" s="96"/>
      <c r="F1" s="96"/>
      <c r="G1" s="96"/>
    </row>
    <row r="2" spans="1:9" x14ac:dyDescent="0.2">
      <c r="A2" s="97" t="s">
        <v>1</v>
      </c>
      <c r="B2" s="99" t="str">
        <f>'Stavební rozpočet'!C2</f>
        <v>"Demoliční práce - budova starého ředitelství v areálu MMN, a.s. v Semilech"</v>
      </c>
      <c r="C2" s="100"/>
      <c r="D2" s="102" t="s">
        <v>491</v>
      </c>
      <c r="E2" s="102" t="str">
        <f>'Stavební rozpočet'!I2</f>
        <v> </v>
      </c>
      <c r="F2" s="98"/>
      <c r="G2" s="112"/>
      <c r="H2" s="26"/>
    </row>
    <row r="3" spans="1:9" x14ac:dyDescent="0.2">
      <c r="A3" s="92"/>
      <c r="B3" s="101"/>
      <c r="C3" s="101"/>
      <c r="D3" s="68"/>
      <c r="E3" s="68"/>
      <c r="F3" s="68"/>
      <c r="G3" s="94"/>
      <c r="H3" s="26"/>
    </row>
    <row r="4" spans="1:9" x14ac:dyDescent="0.2">
      <c r="A4" s="86" t="s">
        <v>2</v>
      </c>
      <c r="B4" s="67" t="str">
        <f>'Stavební rozpočet'!C4</f>
        <v xml:space="preserve"> </v>
      </c>
      <c r="C4" s="68"/>
      <c r="D4" s="67" t="s">
        <v>492</v>
      </c>
      <c r="E4" s="67" t="str">
        <f>'Stavební rozpočet'!I4</f>
        <v> </v>
      </c>
      <c r="F4" s="68"/>
      <c r="G4" s="94"/>
      <c r="H4" s="26"/>
    </row>
    <row r="5" spans="1:9" x14ac:dyDescent="0.2">
      <c r="A5" s="92"/>
      <c r="B5" s="68"/>
      <c r="C5" s="68"/>
      <c r="D5" s="68"/>
      <c r="E5" s="68"/>
      <c r="F5" s="68"/>
      <c r="G5" s="94"/>
      <c r="H5" s="26"/>
    </row>
    <row r="6" spans="1:9" x14ac:dyDescent="0.2">
      <c r="A6" s="86" t="s">
        <v>3</v>
      </c>
      <c r="B6" s="67" t="str">
        <f>'Stavební rozpočet'!C6</f>
        <v>Pavilon F (bez č.p.) - nemocnice Semily, 3.května č.p.421, 513 01 Semily</v>
      </c>
      <c r="C6" s="68"/>
      <c r="D6" s="67" t="s">
        <v>493</v>
      </c>
      <c r="E6" s="67" t="str">
        <f>'Stavební rozpočet'!I6</f>
        <v> </v>
      </c>
      <c r="F6" s="68"/>
      <c r="G6" s="94"/>
      <c r="H6" s="26"/>
    </row>
    <row r="7" spans="1:9" x14ac:dyDescent="0.2">
      <c r="A7" s="92"/>
      <c r="B7" s="68"/>
      <c r="C7" s="68"/>
      <c r="D7" s="68"/>
      <c r="E7" s="68"/>
      <c r="F7" s="68"/>
      <c r="G7" s="94"/>
      <c r="H7" s="26"/>
    </row>
    <row r="8" spans="1:9" x14ac:dyDescent="0.2">
      <c r="A8" s="86" t="s">
        <v>494</v>
      </c>
      <c r="B8" s="67" t="str">
        <f>'Stavební rozpočet'!I8</f>
        <v> </v>
      </c>
      <c r="C8" s="68"/>
      <c r="D8" s="89" t="s">
        <v>481</v>
      </c>
      <c r="E8" s="67"/>
      <c r="F8" s="68"/>
      <c r="G8" s="94"/>
      <c r="H8" s="26"/>
    </row>
    <row r="9" spans="1:9" x14ac:dyDescent="0.2">
      <c r="A9" s="108"/>
      <c r="B9" s="109"/>
      <c r="C9" s="109"/>
      <c r="D9" s="109"/>
      <c r="E9" s="109"/>
      <c r="F9" s="109"/>
      <c r="G9" s="110"/>
      <c r="H9" s="26"/>
    </row>
    <row r="10" spans="1:9" x14ac:dyDescent="0.2">
      <c r="A10" s="32" t="s">
        <v>551</v>
      </c>
      <c r="B10" s="34" t="s">
        <v>151</v>
      </c>
      <c r="C10" s="104" t="s">
        <v>552</v>
      </c>
      <c r="D10" s="105"/>
      <c r="E10" s="35" t="s">
        <v>553</v>
      </c>
      <c r="F10" s="35" t="s">
        <v>554</v>
      </c>
      <c r="G10" s="35" t="s">
        <v>555</v>
      </c>
      <c r="H10" s="26"/>
    </row>
    <row r="11" spans="1:9" x14ac:dyDescent="0.2">
      <c r="A11" s="33" t="s">
        <v>515</v>
      </c>
      <c r="B11" s="33"/>
      <c r="C11" s="106" t="s">
        <v>303</v>
      </c>
      <c r="D11" s="107"/>
      <c r="E11" s="37">
        <f>'Stavební rozpočet'!I12</f>
        <v>0</v>
      </c>
      <c r="F11" s="37">
        <f>'Stavební rozpočet'!J12</f>
        <v>0</v>
      </c>
      <c r="G11" s="37">
        <f>'Stavební rozpočet'!K12</f>
        <v>0</v>
      </c>
      <c r="H11" s="28" t="s">
        <v>556</v>
      </c>
      <c r="I11" s="28">
        <f t="shared" ref="I11:I34" si="0">IF(H11="F",0,G11)</f>
        <v>0</v>
      </c>
    </row>
    <row r="12" spans="1:9" x14ac:dyDescent="0.2">
      <c r="A12" s="12" t="s">
        <v>515</v>
      </c>
      <c r="B12" s="12" t="s">
        <v>17</v>
      </c>
      <c r="C12" s="89" t="s">
        <v>304</v>
      </c>
      <c r="D12" s="68"/>
      <c r="E12" s="28">
        <f>'Stavební rozpočet'!I13</f>
        <v>0</v>
      </c>
      <c r="F12" s="28">
        <f>'Stavební rozpočet'!J13</f>
        <v>0</v>
      </c>
      <c r="G12" s="28">
        <f>'Stavební rozpočet'!K13</f>
        <v>0</v>
      </c>
      <c r="H12" s="28" t="s">
        <v>557</v>
      </c>
      <c r="I12" s="28">
        <f t="shared" si="0"/>
        <v>0</v>
      </c>
    </row>
    <row r="13" spans="1:9" x14ac:dyDescent="0.2">
      <c r="A13" s="12" t="s">
        <v>515</v>
      </c>
      <c r="B13" s="12" t="s">
        <v>19</v>
      </c>
      <c r="C13" s="89" t="s">
        <v>313</v>
      </c>
      <c r="D13" s="68"/>
      <c r="E13" s="28">
        <f>'Stavební rozpočet'!I22</f>
        <v>0</v>
      </c>
      <c r="F13" s="28">
        <f>'Stavební rozpočet'!J22</f>
        <v>0</v>
      </c>
      <c r="G13" s="28">
        <f>'Stavební rozpočet'!K22</f>
        <v>0</v>
      </c>
      <c r="H13" s="28" t="s">
        <v>557</v>
      </c>
      <c r="I13" s="28">
        <f t="shared" si="0"/>
        <v>0</v>
      </c>
    </row>
    <row r="14" spans="1:9" x14ac:dyDescent="0.2">
      <c r="A14" s="12" t="s">
        <v>515</v>
      </c>
      <c r="B14" s="12" t="s">
        <v>22</v>
      </c>
      <c r="C14" s="89" t="s">
        <v>316</v>
      </c>
      <c r="D14" s="68"/>
      <c r="E14" s="28">
        <f>'Stavební rozpočet'!I25</f>
        <v>0</v>
      </c>
      <c r="F14" s="28">
        <f>'Stavební rozpočet'!J25</f>
        <v>0</v>
      </c>
      <c r="G14" s="28">
        <f>'Stavební rozpočet'!K25</f>
        <v>0</v>
      </c>
      <c r="H14" s="28" t="s">
        <v>557</v>
      </c>
      <c r="I14" s="28">
        <f t="shared" si="0"/>
        <v>0</v>
      </c>
    </row>
    <row r="15" spans="1:9" x14ac:dyDescent="0.2">
      <c r="A15" s="12" t="s">
        <v>515</v>
      </c>
      <c r="B15" s="12" t="s">
        <v>23</v>
      </c>
      <c r="C15" s="89" t="s">
        <v>321</v>
      </c>
      <c r="D15" s="68"/>
      <c r="E15" s="28">
        <f>'Stavební rozpočet'!I30</f>
        <v>0</v>
      </c>
      <c r="F15" s="28">
        <f>'Stavební rozpočet'!J30</f>
        <v>0</v>
      </c>
      <c r="G15" s="28">
        <f>'Stavební rozpočet'!K30</f>
        <v>0</v>
      </c>
      <c r="H15" s="28" t="s">
        <v>557</v>
      </c>
      <c r="I15" s="28">
        <f t="shared" si="0"/>
        <v>0</v>
      </c>
    </row>
    <row r="16" spans="1:9" x14ac:dyDescent="0.2">
      <c r="A16" s="12" t="s">
        <v>515</v>
      </c>
      <c r="B16" s="12" t="s">
        <v>24</v>
      </c>
      <c r="C16" s="89" t="s">
        <v>324</v>
      </c>
      <c r="D16" s="68"/>
      <c r="E16" s="28">
        <f>'Stavební rozpočet'!I33</f>
        <v>0</v>
      </c>
      <c r="F16" s="28">
        <f>'Stavební rozpočet'!J33</f>
        <v>0</v>
      </c>
      <c r="G16" s="28">
        <f>'Stavební rozpočet'!K33</f>
        <v>0</v>
      </c>
      <c r="H16" s="28" t="s">
        <v>557</v>
      </c>
      <c r="I16" s="28">
        <f t="shared" si="0"/>
        <v>0</v>
      </c>
    </row>
    <row r="17" spans="1:9" x14ac:dyDescent="0.2">
      <c r="A17" s="12" t="s">
        <v>515</v>
      </c>
      <c r="B17" s="12" t="s">
        <v>65</v>
      </c>
      <c r="C17" s="89" t="s">
        <v>328</v>
      </c>
      <c r="D17" s="68"/>
      <c r="E17" s="28">
        <f>'Stavební rozpočet'!I37</f>
        <v>0</v>
      </c>
      <c r="F17" s="28">
        <f>'Stavební rozpočet'!J37</f>
        <v>0</v>
      </c>
      <c r="G17" s="28">
        <f>'Stavební rozpočet'!K37</f>
        <v>0</v>
      </c>
      <c r="H17" s="28" t="s">
        <v>557</v>
      </c>
      <c r="I17" s="28">
        <f t="shared" si="0"/>
        <v>0</v>
      </c>
    </row>
    <row r="18" spans="1:9" x14ac:dyDescent="0.2">
      <c r="A18" s="12" t="s">
        <v>515</v>
      </c>
      <c r="B18" s="12" t="s">
        <v>96</v>
      </c>
      <c r="C18" s="89" t="s">
        <v>330</v>
      </c>
      <c r="D18" s="68"/>
      <c r="E18" s="28">
        <f>'Stavební rozpočet'!I39</f>
        <v>0</v>
      </c>
      <c r="F18" s="28">
        <f>'Stavební rozpočet'!J39</f>
        <v>0</v>
      </c>
      <c r="G18" s="28">
        <f>'Stavební rozpočet'!K39</f>
        <v>0</v>
      </c>
      <c r="H18" s="28" t="s">
        <v>557</v>
      </c>
      <c r="I18" s="28">
        <f t="shared" si="0"/>
        <v>0</v>
      </c>
    </row>
    <row r="19" spans="1:9" x14ac:dyDescent="0.2">
      <c r="A19" s="12" t="s">
        <v>515</v>
      </c>
      <c r="B19" s="12" t="s">
        <v>100</v>
      </c>
      <c r="C19" s="89" t="s">
        <v>333</v>
      </c>
      <c r="D19" s="68"/>
      <c r="E19" s="28">
        <f>'Stavební rozpočet'!I42</f>
        <v>0</v>
      </c>
      <c r="F19" s="28">
        <f>'Stavební rozpočet'!J42</f>
        <v>0</v>
      </c>
      <c r="G19" s="28">
        <f>'Stavební rozpočet'!K42</f>
        <v>0</v>
      </c>
      <c r="H19" s="28" t="s">
        <v>557</v>
      </c>
      <c r="I19" s="28">
        <f t="shared" si="0"/>
        <v>0</v>
      </c>
    </row>
    <row r="20" spans="1:9" x14ac:dyDescent="0.2">
      <c r="A20" s="12" t="s">
        <v>515</v>
      </c>
      <c r="B20" s="12" t="s">
        <v>102</v>
      </c>
      <c r="C20" s="89" t="s">
        <v>335</v>
      </c>
      <c r="D20" s="68"/>
      <c r="E20" s="28">
        <f>'Stavební rozpočet'!I44</f>
        <v>0</v>
      </c>
      <c r="F20" s="28">
        <f>'Stavební rozpočet'!J44</f>
        <v>0</v>
      </c>
      <c r="G20" s="28">
        <f>'Stavební rozpočet'!K44</f>
        <v>0</v>
      </c>
      <c r="H20" s="28" t="s">
        <v>557</v>
      </c>
      <c r="I20" s="28">
        <f t="shared" si="0"/>
        <v>0</v>
      </c>
    </row>
    <row r="21" spans="1:9" x14ac:dyDescent="0.2">
      <c r="A21" s="12" t="s">
        <v>515</v>
      </c>
      <c r="B21" s="12" t="s">
        <v>103</v>
      </c>
      <c r="C21" s="89" t="s">
        <v>397</v>
      </c>
      <c r="D21" s="68"/>
      <c r="E21" s="28">
        <f>'Stavební rozpočet'!I106</f>
        <v>0</v>
      </c>
      <c r="F21" s="28">
        <f>'Stavební rozpočet'!J106</f>
        <v>0</v>
      </c>
      <c r="G21" s="28">
        <f>'Stavební rozpočet'!K106</f>
        <v>0</v>
      </c>
      <c r="H21" s="28" t="s">
        <v>557</v>
      </c>
      <c r="I21" s="28">
        <f t="shared" si="0"/>
        <v>0</v>
      </c>
    </row>
    <row r="22" spans="1:9" x14ac:dyDescent="0.2">
      <c r="A22" s="12" t="s">
        <v>515</v>
      </c>
      <c r="B22" s="12" t="s">
        <v>233</v>
      </c>
      <c r="C22" s="89" t="s">
        <v>404</v>
      </c>
      <c r="D22" s="68"/>
      <c r="E22" s="28">
        <f>'Stavební rozpočet'!I113</f>
        <v>0</v>
      </c>
      <c r="F22" s="28">
        <f>'Stavební rozpočet'!J113</f>
        <v>0</v>
      </c>
      <c r="G22" s="28">
        <f>'Stavební rozpočet'!K113</f>
        <v>0</v>
      </c>
      <c r="H22" s="28" t="s">
        <v>557</v>
      </c>
      <c r="I22" s="28">
        <f t="shared" si="0"/>
        <v>0</v>
      </c>
    </row>
    <row r="23" spans="1:9" x14ac:dyDescent="0.2">
      <c r="A23" s="12" t="s">
        <v>515</v>
      </c>
      <c r="B23" s="12" t="s">
        <v>235</v>
      </c>
      <c r="C23" s="89" t="s">
        <v>406</v>
      </c>
      <c r="D23" s="68"/>
      <c r="E23" s="28">
        <f>'Stavební rozpočet'!I115</f>
        <v>0</v>
      </c>
      <c r="F23" s="28">
        <f>'Stavební rozpočet'!J115</f>
        <v>0</v>
      </c>
      <c r="G23" s="28">
        <f>'Stavební rozpočet'!K115</f>
        <v>0</v>
      </c>
      <c r="H23" s="28" t="s">
        <v>557</v>
      </c>
      <c r="I23" s="28">
        <f t="shared" si="0"/>
        <v>0</v>
      </c>
    </row>
    <row r="24" spans="1:9" x14ac:dyDescent="0.2">
      <c r="A24" s="12" t="s">
        <v>515</v>
      </c>
      <c r="B24" s="12" t="s">
        <v>237</v>
      </c>
      <c r="C24" s="89" t="s">
        <v>408</v>
      </c>
      <c r="D24" s="68"/>
      <c r="E24" s="28">
        <f>'Stavební rozpočet'!I117</f>
        <v>0</v>
      </c>
      <c r="F24" s="28">
        <f>'Stavební rozpočet'!J117</f>
        <v>0</v>
      </c>
      <c r="G24" s="28">
        <f>'Stavební rozpočet'!K117</f>
        <v>0</v>
      </c>
      <c r="H24" s="28" t="s">
        <v>557</v>
      </c>
      <c r="I24" s="28">
        <f t="shared" si="0"/>
        <v>0</v>
      </c>
    </row>
    <row r="25" spans="1:9" x14ac:dyDescent="0.2">
      <c r="A25" s="12" t="s">
        <v>515</v>
      </c>
      <c r="B25" s="12" t="s">
        <v>260</v>
      </c>
      <c r="C25" s="89" t="s">
        <v>431</v>
      </c>
      <c r="D25" s="68"/>
      <c r="E25" s="28">
        <f>'Stavební rozpočet'!I140</f>
        <v>0</v>
      </c>
      <c r="F25" s="28">
        <f>'Stavební rozpočet'!J140</f>
        <v>0</v>
      </c>
      <c r="G25" s="28">
        <f>'Stavební rozpočet'!K140</f>
        <v>0</v>
      </c>
      <c r="H25" s="28" t="s">
        <v>557</v>
      </c>
      <c r="I25" s="28">
        <f t="shared" si="0"/>
        <v>0</v>
      </c>
    </row>
    <row r="26" spans="1:9" x14ac:dyDescent="0.2">
      <c r="A26" s="12" t="s">
        <v>515</v>
      </c>
      <c r="B26" s="12" t="s">
        <v>263</v>
      </c>
      <c r="C26" s="89" t="s">
        <v>434</v>
      </c>
      <c r="D26" s="68"/>
      <c r="E26" s="28">
        <f>'Stavební rozpočet'!I143</f>
        <v>0</v>
      </c>
      <c r="F26" s="28">
        <f>'Stavební rozpočet'!J143</f>
        <v>0</v>
      </c>
      <c r="G26" s="28">
        <f>'Stavební rozpočet'!K143</f>
        <v>0</v>
      </c>
      <c r="H26" s="28" t="s">
        <v>557</v>
      </c>
      <c r="I26" s="28">
        <f t="shared" si="0"/>
        <v>0</v>
      </c>
    </row>
    <row r="27" spans="1:9" x14ac:dyDescent="0.2">
      <c r="A27" s="12" t="s">
        <v>515</v>
      </c>
      <c r="B27" s="12" t="s">
        <v>265</v>
      </c>
      <c r="C27" s="89" t="s">
        <v>436</v>
      </c>
      <c r="D27" s="68"/>
      <c r="E27" s="28">
        <f>'Stavební rozpočet'!I145</f>
        <v>0</v>
      </c>
      <c r="F27" s="28">
        <f>'Stavební rozpočet'!J145</f>
        <v>0</v>
      </c>
      <c r="G27" s="28">
        <f>'Stavební rozpočet'!K145</f>
        <v>0</v>
      </c>
      <c r="H27" s="28" t="s">
        <v>557</v>
      </c>
      <c r="I27" s="28">
        <f t="shared" si="0"/>
        <v>0</v>
      </c>
    </row>
    <row r="28" spans="1:9" x14ac:dyDescent="0.2">
      <c r="A28" s="12" t="s">
        <v>515</v>
      </c>
      <c r="B28" s="12" t="s">
        <v>267</v>
      </c>
      <c r="C28" s="89" t="s">
        <v>438</v>
      </c>
      <c r="D28" s="68"/>
      <c r="E28" s="28">
        <f>'Stavební rozpočet'!I147</f>
        <v>0</v>
      </c>
      <c r="F28" s="28">
        <f>'Stavební rozpočet'!J147</f>
        <v>0</v>
      </c>
      <c r="G28" s="28">
        <f>'Stavební rozpočet'!K147</f>
        <v>0</v>
      </c>
      <c r="H28" s="28" t="s">
        <v>557</v>
      </c>
      <c r="I28" s="28">
        <f t="shared" si="0"/>
        <v>0</v>
      </c>
    </row>
    <row r="29" spans="1:9" x14ac:dyDescent="0.2">
      <c r="A29" s="12" t="s">
        <v>515</v>
      </c>
      <c r="B29" s="12" t="s">
        <v>271</v>
      </c>
      <c r="C29" s="89" t="s">
        <v>442</v>
      </c>
      <c r="D29" s="68"/>
      <c r="E29" s="28">
        <f>'Stavební rozpočet'!I151</f>
        <v>0</v>
      </c>
      <c r="F29" s="28">
        <f>'Stavební rozpočet'!J151</f>
        <v>0</v>
      </c>
      <c r="G29" s="28">
        <f>'Stavební rozpočet'!K151</f>
        <v>0</v>
      </c>
      <c r="H29" s="28" t="s">
        <v>557</v>
      </c>
      <c r="I29" s="28">
        <f t="shared" si="0"/>
        <v>0</v>
      </c>
    </row>
    <row r="30" spans="1:9" x14ac:dyDescent="0.2">
      <c r="A30" s="12" t="s">
        <v>515</v>
      </c>
      <c r="B30" s="12" t="s">
        <v>282</v>
      </c>
      <c r="C30" s="89" t="s">
        <v>453</v>
      </c>
      <c r="D30" s="68"/>
      <c r="E30" s="28">
        <f>'Stavební rozpočet'!I162</f>
        <v>0</v>
      </c>
      <c r="F30" s="28">
        <f>'Stavební rozpočet'!J162</f>
        <v>0</v>
      </c>
      <c r="G30" s="28">
        <f>'Stavební rozpočet'!K162</f>
        <v>0</v>
      </c>
      <c r="H30" s="28" t="s">
        <v>557</v>
      </c>
      <c r="I30" s="28">
        <f t="shared" si="0"/>
        <v>0</v>
      </c>
    </row>
    <row r="31" spans="1:9" x14ac:dyDescent="0.2">
      <c r="A31" s="12" t="s">
        <v>515</v>
      </c>
      <c r="B31" s="12" t="s">
        <v>284</v>
      </c>
      <c r="C31" s="89" t="s">
        <v>455</v>
      </c>
      <c r="D31" s="68"/>
      <c r="E31" s="28">
        <f>'Stavební rozpočet'!I164</f>
        <v>0</v>
      </c>
      <c r="F31" s="28">
        <f>'Stavební rozpočet'!J164</f>
        <v>0</v>
      </c>
      <c r="G31" s="28">
        <f>'Stavební rozpočet'!K164</f>
        <v>0</v>
      </c>
      <c r="H31" s="28" t="s">
        <v>557</v>
      </c>
      <c r="I31" s="28">
        <f t="shared" si="0"/>
        <v>0</v>
      </c>
    </row>
    <row r="32" spans="1:9" x14ac:dyDescent="0.2">
      <c r="A32" s="12" t="s">
        <v>515</v>
      </c>
      <c r="B32" s="12" t="s">
        <v>289</v>
      </c>
      <c r="C32" s="89" t="s">
        <v>465</v>
      </c>
      <c r="D32" s="68"/>
      <c r="E32" s="28">
        <f>'Stavební rozpočet'!I174</f>
        <v>0</v>
      </c>
      <c r="F32" s="28">
        <f>'Stavební rozpočet'!J174</f>
        <v>0</v>
      </c>
      <c r="G32" s="28">
        <f>'Stavební rozpočet'!K174</f>
        <v>0</v>
      </c>
      <c r="H32" s="28" t="s">
        <v>557</v>
      </c>
      <c r="I32" s="28">
        <f t="shared" si="0"/>
        <v>0</v>
      </c>
    </row>
    <row r="33" spans="1:9" x14ac:dyDescent="0.2">
      <c r="A33" s="12" t="s">
        <v>515</v>
      </c>
      <c r="B33" s="12" t="s">
        <v>292</v>
      </c>
      <c r="C33" s="89" t="s">
        <v>469</v>
      </c>
      <c r="D33" s="68"/>
      <c r="E33" s="28">
        <f>'Stavební rozpočet'!I178</f>
        <v>0</v>
      </c>
      <c r="F33" s="28">
        <f>'Stavební rozpočet'!J178</f>
        <v>0</v>
      </c>
      <c r="G33" s="28">
        <f>'Stavební rozpočet'!K178</f>
        <v>0</v>
      </c>
      <c r="H33" s="28" t="s">
        <v>557</v>
      </c>
      <c r="I33" s="28">
        <f t="shared" si="0"/>
        <v>0</v>
      </c>
    </row>
    <row r="34" spans="1:9" x14ac:dyDescent="0.2">
      <c r="A34" s="12" t="s">
        <v>515</v>
      </c>
      <c r="B34" s="12" t="s">
        <v>295</v>
      </c>
      <c r="C34" s="89" t="s">
        <v>473</v>
      </c>
      <c r="D34" s="68"/>
      <c r="E34" s="28">
        <f>'Stavební rozpočet'!I182</f>
        <v>0</v>
      </c>
      <c r="F34" s="28">
        <f>'Stavební rozpočet'!J182</f>
        <v>0</v>
      </c>
      <c r="G34" s="28">
        <f>'Stavební rozpočet'!K182</f>
        <v>0</v>
      </c>
      <c r="H34" s="28" t="s">
        <v>557</v>
      </c>
      <c r="I34" s="28">
        <f t="shared" si="0"/>
        <v>0</v>
      </c>
    </row>
    <row r="36" spans="1:9" x14ac:dyDescent="0.2">
      <c r="F36" s="36" t="s">
        <v>500</v>
      </c>
      <c r="G36" s="38">
        <f>SUM(I11:I34)</f>
        <v>0</v>
      </c>
    </row>
  </sheetData>
  <mergeCells count="42">
    <mergeCell ref="A4:A5"/>
    <mergeCell ref="B4:C5"/>
    <mergeCell ref="D4:D5"/>
    <mergeCell ref="E4:G5"/>
    <mergeCell ref="A1:G1"/>
    <mergeCell ref="A2:A3"/>
    <mergeCell ref="B2:C3"/>
    <mergeCell ref="D2:D3"/>
    <mergeCell ref="E2:G3"/>
    <mergeCell ref="C15:D15"/>
    <mergeCell ref="A6:A7"/>
    <mergeCell ref="B6:C7"/>
    <mergeCell ref="D6:D7"/>
    <mergeCell ref="E6:G7"/>
    <mergeCell ref="A8:A9"/>
    <mergeCell ref="B8:C9"/>
    <mergeCell ref="D8:D9"/>
    <mergeCell ref="E8:G9"/>
    <mergeCell ref="C10:D10"/>
    <mergeCell ref="C11:D11"/>
    <mergeCell ref="C12:D12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34:D34"/>
    <mergeCell ref="C28:D28"/>
    <mergeCell ref="C29:D29"/>
    <mergeCell ref="C30:D30"/>
    <mergeCell ref="C31:D31"/>
    <mergeCell ref="C32:D32"/>
    <mergeCell ref="C33:D33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89"/>
  <sheetViews>
    <sheetView tabSelected="1" workbookViewId="0">
      <pane ySplit="11" topLeftCell="A12" activePane="bottomLeft" state="frozenSplit"/>
      <selection pane="bottomLeft" activeCell="O187" sqref="O187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112.28515625" customWidth="1"/>
    <col min="6" max="6" width="4.42578125" customWidth="1"/>
    <col min="7" max="7" width="12.85546875" customWidth="1"/>
    <col min="8" max="8" width="12" customWidth="1"/>
    <col min="9" max="10" width="14.28515625" hidden="1" customWidth="1"/>
    <col min="11" max="11" width="14.28515625" customWidth="1"/>
    <col min="12" max="12" width="11.7109375" hidden="1" customWidth="1"/>
    <col min="25" max="62" width="12.140625" hidden="1" customWidth="1"/>
  </cols>
  <sheetData>
    <row r="1" spans="1:62" ht="72.95" customHeight="1" x14ac:dyDescent="0.35">
      <c r="A1" s="111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62" x14ac:dyDescent="0.2">
      <c r="A2" s="97" t="s">
        <v>1</v>
      </c>
      <c r="B2" s="98"/>
      <c r="C2" s="99" t="s">
        <v>719</v>
      </c>
      <c r="D2" s="133" t="s">
        <v>478</v>
      </c>
      <c r="E2" s="98"/>
      <c r="F2" s="133" t="s">
        <v>6</v>
      </c>
      <c r="G2" s="98"/>
      <c r="H2" s="102" t="s">
        <v>491</v>
      </c>
      <c r="I2" s="133" t="s">
        <v>497</v>
      </c>
      <c r="J2" s="98"/>
      <c r="K2" s="98"/>
      <c r="L2" s="112"/>
      <c r="M2" s="26"/>
    </row>
    <row r="3" spans="1:62" x14ac:dyDescent="0.2">
      <c r="A3" s="92"/>
      <c r="B3" s="68"/>
      <c r="C3" s="101"/>
      <c r="D3" s="68"/>
      <c r="E3" s="68"/>
      <c r="F3" s="68"/>
      <c r="G3" s="68"/>
      <c r="H3" s="68"/>
      <c r="I3" s="68"/>
      <c r="J3" s="68"/>
      <c r="K3" s="68"/>
      <c r="L3" s="94"/>
      <c r="M3" s="26"/>
    </row>
    <row r="4" spans="1:62" x14ac:dyDescent="0.2">
      <c r="A4" s="86" t="s">
        <v>2</v>
      </c>
      <c r="B4" s="68"/>
      <c r="C4" s="67" t="s">
        <v>6</v>
      </c>
      <c r="D4" s="89" t="s">
        <v>479</v>
      </c>
      <c r="E4" s="68"/>
      <c r="F4" s="89"/>
      <c r="G4" s="68"/>
      <c r="H4" s="67" t="s">
        <v>492</v>
      </c>
      <c r="I4" s="89" t="s">
        <v>497</v>
      </c>
      <c r="J4" s="68"/>
      <c r="K4" s="68"/>
      <c r="L4" s="94"/>
      <c r="M4" s="26"/>
    </row>
    <row r="5" spans="1:62" x14ac:dyDescent="0.2">
      <c r="A5" s="92"/>
      <c r="B5" s="68"/>
      <c r="C5" s="68"/>
      <c r="D5" s="68"/>
      <c r="E5" s="68"/>
      <c r="F5" s="68"/>
      <c r="G5" s="68"/>
      <c r="H5" s="68"/>
      <c r="I5" s="68"/>
      <c r="J5" s="68"/>
      <c r="K5" s="68"/>
      <c r="L5" s="94"/>
      <c r="M5" s="26"/>
    </row>
    <row r="6" spans="1:62" x14ac:dyDescent="0.2">
      <c r="A6" s="86" t="s">
        <v>3</v>
      </c>
      <c r="B6" s="68"/>
      <c r="C6" s="67" t="s">
        <v>300</v>
      </c>
      <c r="D6" s="89" t="s">
        <v>480</v>
      </c>
      <c r="E6" s="68"/>
      <c r="F6" s="89" t="s">
        <v>6</v>
      </c>
      <c r="G6" s="68"/>
      <c r="H6" s="67" t="s">
        <v>493</v>
      </c>
      <c r="I6" s="89" t="s">
        <v>497</v>
      </c>
      <c r="J6" s="68"/>
      <c r="K6" s="68"/>
      <c r="L6" s="94"/>
      <c r="M6" s="26"/>
    </row>
    <row r="7" spans="1:62" x14ac:dyDescent="0.2">
      <c r="A7" s="92"/>
      <c r="B7" s="68"/>
      <c r="C7" s="68"/>
      <c r="D7" s="68"/>
      <c r="E7" s="68"/>
      <c r="F7" s="68"/>
      <c r="G7" s="68"/>
      <c r="H7" s="68"/>
      <c r="I7" s="68"/>
      <c r="J7" s="68"/>
      <c r="K7" s="68"/>
      <c r="L7" s="94"/>
      <c r="M7" s="26"/>
    </row>
    <row r="8" spans="1:62" x14ac:dyDescent="0.2">
      <c r="A8" s="86" t="s">
        <v>4</v>
      </c>
      <c r="B8" s="68"/>
      <c r="C8" s="67" t="s">
        <v>6</v>
      </c>
      <c r="D8" s="89" t="s">
        <v>481</v>
      </c>
      <c r="E8" s="68"/>
      <c r="F8" s="89"/>
      <c r="G8" s="68"/>
      <c r="H8" s="67" t="s">
        <v>494</v>
      </c>
      <c r="I8" s="89" t="s">
        <v>497</v>
      </c>
      <c r="J8" s="68"/>
      <c r="K8" s="68"/>
      <c r="L8" s="94"/>
      <c r="M8" s="26"/>
    </row>
    <row r="9" spans="1:62" x14ac:dyDescent="0.2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10"/>
      <c r="M9" s="26"/>
    </row>
    <row r="10" spans="1:62" x14ac:dyDescent="0.2">
      <c r="A10" s="1" t="s">
        <v>5</v>
      </c>
      <c r="B10" s="8" t="s">
        <v>151</v>
      </c>
      <c r="C10" s="122" t="s">
        <v>552</v>
      </c>
      <c r="D10" s="123"/>
      <c r="E10" s="124"/>
      <c r="F10" s="8" t="s">
        <v>482</v>
      </c>
      <c r="G10" s="13" t="s">
        <v>490</v>
      </c>
      <c r="H10" s="16" t="s">
        <v>495</v>
      </c>
      <c r="I10" s="125" t="s">
        <v>498</v>
      </c>
      <c r="J10" s="126"/>
      <c r="K10" s="127"/>
      <c r="L10" s="21" t="s">
        <v>503</v>
      </c>
      <c r="M10" s="27"/>
    </row>
    <row r="11" spans="1:62" x14ac:dyDescent="0.2">
      <c r="A11" s="2" t="s">
        <v>6</v>
      </c>
      <c r="B11" s="9" t="s">
        <v>6</v>
      </c>
      <c r="C11" s="128" t="s">
        <v>302</v>
      </c>
      <c r="D11" s="129"/>
      <c r="E11" s="130"/>
      <c r="F11" s="9" t="s">
        <v>6</v>
      </c>
      <c r="G11" s="9" t="s">
        <v>6</v>
      </c>
      <c r="H11" s="17" t="s">
        <v>496</v>
      </c>
      <c r="I11" s="18" t="s">
        <v>499</v>
      </c>
      <c r="J11" s="19" t="s">
        <v>501</v>
      </c>
      <c r="K11" s="20" t="s">
        <v>502</v>
      </c>
      <c r="L11" s="22" t="s">
        <v>504</v>
      </c>
      <c r="M11" s="27"/>
      <c r="Z11" s="23" t="s">
        <v>506</v>
      </c>
      <c r="AA11" s="23" t="s">
        <v>507</v>
      </c>
      <c r="AB11" s="23" t="s">
        <v>508</v>
      </c>
      <c r="AC11" s="23" t="s">
        <v>509</v>
      </c>
      <c r="AD11" s="23" t="s">
        <v>510</v>
      </c>
      <c r="AE11" s="23" t="s">
        <v>511</v>
      </c>
      <c r="AF11" s="23" t="s">
        <v>512</v>
      </c>
      <c r="AG11" s="23" t="s">
        <v>513</v>
      </c>
      <c r="AH11" s="23" t="s">
        <v>514</v>
      </c>
      <c r="BH11" s="23" t="s">
        <v>547</v>
      </c>
      <c r="BI11" s="23" t="s">
        <v>548</v>
      </c>
      <c r="BJ11" s="23" t="s">
        <v>549</v>
      </c>
    </row>
    <row r="12" spans="1:62" x14ac:dyDescent="0.2">
      <c r="A12" s="63"/>
      <c r="B12" s="64"/>
      <c r="C12" s="131" t="s">
        <v>303</v>
      </c>
      <c r="D12" s="132"/>
      <c r="E12" s="132"/>
      <c r="F12" s="63" t="s">
        <v>6</v>
      </c>
      <c r="G12" s="63" t="s">
        <v>6</v>
      </c>
      <c r="H12" s="63" t="s">
        <v>6</v>
      </c>
      <c r="I12" s="65">
        <f>I13+I22+I25+I30+I33+I37+I39+I42+I44+I106+I113+I115+I117+I140+I143+I145+I147+I151+I162+I164+I174+I178+I182</f>
        <v>0</v>
      </c>
      <c r="J12" s="65">
        <f>J13+J22+J25+J30+J33+J37+J39+J42+J44+J106+J113+J115+J117+J140+J143+J145+J147+J151+J162+J164+J174+J178+J182</f>
        <v>0</v>
      </c>
      <c r="K12" s="65">
        <f>K13+K22+K25+K30+K33+K37+K39+K42+K44+K106+K113+K115+K117+K140+K143+K145+K147+K151+K162+K164+K174+K178+K182</f>
        <v>0</v>
      </c>
      <c r="L12" s="66"/>
    </row>
    <row r="13" spans="1:62" x14ac:dyDescent="0.2">
      <c r="A13" s="3"/>
      <c r="B13" s="10" t="s">
        <v>17</v>
      </c>
      <c r="C13" s="120" t="s">
        <v>304</v>
      </c>
      <c r="D13" s="121"/>
      <c r="E13" s="121"/>
      <c r="F13" s="3" t="s">
        <v>6</v>
      </c>
      <c r="G13" s="3" t="s">
        <v>6</v>
      </c>
      <c r="H13" s="3" t="s">
        <v>6</v>
      </c>
      <c r="I13" s="30">
        <f>SUM(I14:I21)</f>
        <v>0</v>
      </c>
      <c r="J13" s="30">
        <f>SUM(J14:J21)</f>
        <v>0</v>
      </c>
      <c r="K13" s="30">
        <f>SUM(K14:K21)</f>
        <v>0</v>
      </c>
      <c r="L13" s="23"/>
      <c r="AI13" s="23" t="s">
        <v>515</v>
      </c>
      <c r="AS13" s="30">
        <f>SUM(AJ14:AJ21)</f>
        <v>0</v>
      </c>
      <c r="AT13" s="30">
        <f>SUM(AK14:AK21)</f>
        <v>0</v>
      </c>
      <c r="AU13" s="30">
        <f>SUM(AL14:AL21)</f>
        <v>0</v>
      </c>
    </row>
    <row r="14" spans="1:62" x14ac:dyDescent="0.2">
      <c r="A14" s="4" t="s">
        <v>7</v>
      </c>
      <c r="B14" s="4" t="s">
        <v>152</v>
      </c>
      <c r="C14" s="113" t="s">
        <v>305</v>
      </c>
      <c r="D14" s="114"/>
      <c r="E14" s="114"/>
      <c r="F14" s="4" t="s">
        <v>483</v>
      </c>
      <c r="G14" s="59">
        <v>4</v>
      </c>
      <c r="H14" s="14">
        <v>0</v>
      </c>
      <c r="I14" s="14">
        <f t="shared" ref="I14:I21" si="0">G14*AO14</f>
        <v>0</v>
      </c>
      <c r="J14" s="14">
        <f t="shared" ref="J14:J21" si="1">G14*AP14</f>
        <v>0</v>
      </c>
      <c r="K14" s="14">
        <f t="shared" ref="K14:K21" si="2">G14*H14</f>
        <v>0</v>
      </c>
      <c r="L14" s="24" t="s">
        <v>505</v>
      </c>
      <c r="Z14" s="28">
        <f t="shared" ref="Z14:Z21" si="3">IF(AQ14="5",BJ14,0)</f>
        <v>0</v>
      </c>
      <c r="AB14" s="28">
        <f t="shared" ref="AB14:AB21" si="4">IF(AQ14="1",BH14,0)</f>
        <v>0</v>
      </c>
      <c r="AC14" s="28">
        <f t="shared" ref="AC14:AC21" si="5">IF(AQ14="1",BI14,0)</f>
        <v>0</v>
      </c>
      <c r="AD14" s="28">
        <f t="shared" ref="AD14:AD21" si="6">IF(AQ14="7",BH14,0)</f>
        <v>0</v>
      </c>
      <c r="AE14" s="28">
        <f t="shared" ref="AE14:AE21" si="7">IF(AQ14="7",BI14,0)</f>
        <v>0</v>
      </c>
      <c r="AF14" s="28">
        <f t="shared" ref="AF14:AF21" si="8">IF(AQ14="2",BH14,0)</f>
        <v>0</v>
      </c>
      <c r="AG14" s="28">
        <f t="shared" ref="AG14:AG21" si="9">IF(AQ14="2",BI14,0)</f>
        <v>0</v>
      </c>
      <c r="AH14" s="28">
        <f t="shared" ref="AH14:AH21" si="10">IF(AQ14="0",BJ14,0)</f>
        <v>0</v>
      </c>
      <c r="AI14" s="23" t="s">
        <v>515</v>
      </c>
      <c r="AJ14" s="14">
        <f t="shared" ref="AJ14:AJ21" si="11">IF(AN14=0,K14,0)</f>
        <v>0</v>
      </c>
      <c r="AK14" s="14">
        <f t="shared" ref="AK14:AK21" si="12">IF(AN14=15,K14,0)</f>
        <v>0</v>
      </c>
      <c r="AL14" s="14">
        <f t="shared" ref="AL14:AL21" si="13">IF(AN14=21,K14,0)</f>
        <v>0</v>
      </c>
      <c r="AN14" s="28">
        <v>21</v>
      </c>
      <c r="AO14" s="28">
        <f t="shared" ref="AO14:AO21" si="14">H14*0</f>
        <v>0</v>
      </c>
      <c r="AP14" s="28">
        <f t="shared" ref="AP14:AP21" si="15">H14*(1-0)</f>
        <v>0</v>
      </c>
      <c r="AQ14" s="24" t="s">
        <v>7</v>
      </c>
      <c r="AV14" s="28">
        <f t="shared" ref="AV14:AV21" si="16">AW14+AX14</f>
        <v>0</v>
      </c>
      <c r="AW14" s="28">
        <f t="shared" ref="AW14:AW21" si="17">G14*AO14</f>
        <v>0</v>
      </c>
      <c r="AX14" s="28">
        <f t="shared" ref="AX14:AX21" si="18">G14*AP14</f>
        <v>0</v>
      </c>
      <c r="AY14" s="29" t="s">
        <v>516</v>
      </c>
      <c r="AZ14" s="29" t="s">
        <v>539</v>
      </c>
      <c r="BA14" s="23" t="s">
        <v>546</v>
      </c>
      <c r="BC14" s="28">
        <f t="shared" ref="BC14:BC21" si="19">AW14+AX14</f>
        <v>0</v>
      </c>
      <c r="BD14" s="28">
        <f t="shared" ref="BD14:BD21" si="20">H14/(100-BE14)*100</f>
        <v>0</v>
      </c>
      <c r="BE14" s="28">
        <v>0</v>
      </c>
      <c r="BF14" s="28">
        <f>14</f>
        <v>14</v>
      </c>
      <c r="BH14" s="14">
        <f t="shared" ref="BH14:BH21" si="21">G14*AO14</f>
        <v>0</v>
      </c>
      <c r="BI14" s="14">
        <f t="shared" ref="BI14:BI21" si="22">G14*AP14</f>
        <v>0</v>
      </c>
      <c r="BJ14" s="14">
        <f t="shared" ref="BJ14:BJ21" si="23">G14*H14</f>
        <v>0</v>
      </c>
    </row>
    <row r="15" spans="1:62" x14ac:dyDescent="0.2">
      <c r="A15" s="4" t="s">
        <v>8</v>
      </c>
      <c r="B15" s="4" t="s">
        <v>153</v>
      </c>
      <c r="C15" s="113" t="s">
        <v>306</v>
      </c>
      <c r="D15" s="114"/>
      <c r="E15" s="114"/>
      <c r="F15" s="4" t="s">
        <v>483</v>
      </c>
      <c r="G15" s="59">
        <v>4</v>
      </c>
      <c r="H15" s="14">
        <v>0</v>
      </c>
      <c r="I15" s="14">
        <f t="shared" si="0"/>
        <v>0</v>
      </c>
      <c r="J15" s="14">
        <f t="shared" si="1"/>
        <v>0</v>
      </c>
      <c r="K15" s="14">
        <f t="shared" si="2"/>
        <v>0</v>
      </c>
      <c r="L15" s="24" t="s">
        <v>505</v>
      </c>
      <c r="Z15" s="28">
        <f t="shared" si="3"/>
        <v>0</v>
      </c>
      <c r="AB15" s="28">
        <f t="shared" si="4"/>
        <v>0</v>
      </c>
      <c r="AC15" s="28">
        <f t="shared" si="5"/>
        <v>0</v>
      </c>
      <c r="AD15" s="28">
        <f t="shared" si="6"/>
        <v>0</v>
      </c>
      <c r="AE15" s="28">
        <f t="shared" si="7"/>
        <v>0</v>
      </c>
      <c r="AF15" s="28">
        <f t="shared" si="8"/>
        <v>0</v>
      </c>
      <c r="AG15" s="28">
        <f t="shared" si="9"/>
        <v>0</v>
      </c>
      <c r="AH15" s="28">
        <f t="shared" si="10"/>
        <v>0</v>
      </c>
      <c r="AI15" s="23" t="s">
        <v>515</v>
      </c>
      <c r="AJ15" s="14">
        <f t="shared" si="11"/>
        <v>0</v>
      </c>
      <c r="AK15" s="14">
        <f t="shared" si="12"/>
        <v>0</v>
      </c>
      <c r="AL15" s="14">
        <f t="shared" si="13"/>
        <v>0</v>
      </c>
      <c r="AN15" s="28">
        <v>21</v>
      </c>
      <c r="AO15" s="28">
        <f t="shared" si="14"/>
        <v>0</v>
      </c>
      <c r="AP15" s="28">
        <f t="shared" si="15"/>
        <v>0</v>
      </c>
      <c r="AQ15" s="24" t="s">
        <v>7</v>
      </c>
      <c r="AV15" s="28">
        <f t="shared" si="16"/>
        <v>0</v>
      </c>
      <c r="AW15" s="28">
        <f t="shared" si="17"/>
        <v>0</v>
      </c>
      <c r="AX15" s="28">
        <f t="shared" si="18"/>
        <v>0</v>
      </c>
      <c r="AY15" s="29" t="s">
        <v>516</v>
      </c>
      <c r="AZ15" s="29" t="s">
        <v>539</v>
      </c>
      <c r="BA15" s="23" t="s">
        <v>546</v>
      </c>
      <c r="BC15" s="28">
        <f t="shared" si="19"/>
        <v>0</v>
      </c>
      <c r="BD15" s="28">
        <f t="shared" si="20"/>
        <v>0</v>
      </c>
      <c r="BE15" s="28">
        <v>0</v>
      </c>
      <c r="BF15" s="28">
        <f>15</f>
        <v>15</v>
      </c>
      <c r="BH15" s="14">
        <f t="shared" si="21"/>
        <v>0</v>
      </c>
      <c r="BI15" s="14">
        <f t="shared" si="22"/>
        <v>0</v>
      </c>
      <c r="BJ15" s="14">
        <f t="shared" si="23"/>
        <v>0</v>
      </c>
    </row>
    <row r="16" spans="1:62" x14ac:dyDescent="0.2">
      <c r="A16" s="4" t="s">
        <v>9</v>
      </c>
      <c r="B16" s="4" t="s">
        <v>154</v>
      </c>
      <c r="C16" s="113" t="s">
        <v>307</v>
      </c>
      <c r="D16" s="114"/>
      <c r="E16" s="114"/>
      <c r="F16" s="4" t="s">
        <v>484</v>
      </c>
      <c r="G16" s="59">
        <v>1</v>
      </c>
      <c r="H16" s="14">
        <v>0</v>
      </c>
      <c r="I16" s="14">
        <f t="shared" si="0"/>
        <v>0</v>
      </c>
      <c r="J16" s="14">
        <f t="shared" si="1"/>
        <v>0</v>
      </c>
      <c r="K16" s="14">
        <f t="shared" si="2"/>
        <v>0</v>
      </c>
      <c r="L16" s="24" t="s">
        <v>505</v>
      </c>
      <c r="Z16" s="28">
        <f t="shared" si="3"/>
        <v>0</v>
      </c>
      <c r="AB16" s="28">
        <f t="shared" si="4"/>
        <v>0</v>
      </c>
      <c r="AC16" s="28">
        <f t="shared" si="5"/>
        <v>0</v>
      </c>
      <c r="AD16" s="28">
        <f t="shared" si="6"/>
        <v>0</v>
      </c>
      <c r="AE16" s="28">
        <f t="shared" si="7"/>
        <v>0</v>
      </c>
      <c r="AF16" s="28">
        <f t="shared" si="8"/>
        <v>0</v>
      </c>
      <c r="AG16" s="28">
        <f t="shared" si="9"/>
        <v>0</v>
      </c>
      <c r="AH16" s="28">
        <f t="shared" si="10"/>
        <v>0</v>
      </c>
      <c r="AI16" s="23" t="s">
        <v>515</v>
      </c>
      <c r="AJ16" s="14">
        <f t="shared" si="11"/>
        <v>0</v>
      </c>
      <c r="AK16" s="14">
        <f t="shared" si="12"/>
        <v>0</v>
      </c>
      <c r="AL16" s="14">
        <f t="shared" si="13"/>
        <v>0</v>
      </c>
      <c r="AN16" s="28">
        <v>21</v>
      </c>
      <c r="AO16" s="28">
        <f t="shared" si="14"/>
        <v>0</v>
      </c>
      <c r="AP16" s="28">
        <f t="shared" si="15"/>
        <v>0</v>
      </c>
      <c r="AQ16" s="24" t="s">
        <v>7</v>
      </c>
      <c r="AV16" s="28">
        <f t="shared" si="16"/>
        <v>0</v>
      </c>
      <c r="AW16" s="28">
        <f t="shared" si="17"/>
        <v>0</v>
      </c>
      <c r="AX16" s="28">
        <f t="shared" si="18"/>
        <v>0</v>
      </c>
      <c r="AY16" s="29" t="s">
        <v>516</v>
      </c>
      <c r="AZ16" s="29" t="s">
        <v>539</v>
      </c>
      <c r="BA16" s="23" t="s">
        <v>546</v>
      </c>
      <c r="BC16" s="28">
        <f t="shared" si="19"/>
        <v>0</v>
      </c>
      <c r="BD16" s="28">
        <f t="shared" si="20"/>
        <v>0</v>
      </c>
      <c r="BE16" s="28">
        <v>0</v>
      </c>
      <c r="BF16" s="28">
        <f>16</f>
        <v>16</v>
      </c>
      <c r="BH16" s="14">
        <f t="shared" si="21"/>
        <v>0</v>
      </c>
      <c r="BI16" s="14">
        <f t="shared" si="22"/>
        <v>0</v>
      </c>
      <c r="BJ16" s="14">
        <f t="shared" si="23"/>
        <v>0</v>
      </c>
    </row>
    <row r="17" spans="1:62" x14ac:dyDescent="0.2">
      <c r="A17" s="4" t="s">
        <v>10</v>
      </c>
      <c r="B17" s="4" t="s">
        <v>155</v>
      </c>
      <c r="C17" s="113" t="s">
        <v>308</v>
      </c>
      <c r="D17" s="114"/>
      <c r="E17" s="114"/>
      <c r="F17" s="4" t="s">
        <v>483</v>
      </c>
      <c r="G17" s="59">
        <v>10</v>
      </c>
      <c r="H17" s="14">
        <v>0</v>
      </c>
      <c r="I17" s="14">
        <f t="shared" si="0"/>
        <v>0</v>
      </c>
      <c r="J17" s="14">
        <f t="shared" si="1"/>
        <v>0</v>
      </c>
      <c r="K17" s="14">
        <f t="shared" si="2"/>
        <v>0</v>
      </c>
      <c r="L17" s="24" t="s">
        <v>505</v>
      </c>
      <c r="Z17" s="28">
        <f t="shared" si="3"/>
        <v>0</v>
      </c>
      <c r="AB17" s="28">
        <f t="shared" si="4"/>
        <v>0</v>
      </c>
      <c r="AC17" s="28">
        <f t="shared" si="5"/>
        <v>0</v>
      </c>
      <c r="AD17" s="28">
        <f t="shared" si="6"/>
        <v>0</v>
      </c>
      <c r="AE17" s="28">
        <f t="shared" si="7"/>
        <v>0</v>
      </c>
      <c r="AF17" s="28">
        <f t="shared" si="8"/>
        <v>0</v>
      </c>
      <c r="AG17" s="28">
        <f t="shared" si="9"/>
        <v>0</v>
      </c>
      <c r="AH17" s="28">
        <f t="shared" si="10"/>
        <v>0</v>
      </c>
      <c r="AI17" s="23" t="s">
        <v>515</v>
      </c>
      <c r="AJ17" s="14">
        <f t="shared" si="11"/>
        <v>0</v>
      </c>
      <c r="AK17" s="14">
        <f t="shared" si="12"/>
        <v>0</v>
      </c>
      <c r="AL17" s="14">
        <f t="shared" si="13"/>
        <v>0</v>
      </c>
      <c r="AN17" s="28">
        <v>21</v>
      </c>
      <c r="AO17" s="28">
        <f t="shared" si="14"/>
        <v>0</v>
      </c>
      <c r="AP17" s="28">
        <f t="shared" si="15"/>
        <v>0</v>
      </c>
      <c r="AQ17" s="24" t="s">
        <v>7</v>
      </c>
      <c r="AV17" s="28">
        <f t="shared" si="16"/>
        <v>0</v>
      </c>
      <c r="AW17" s="28">
        <f t="shared" si="17"/>
        <v>0</v>
      </c>
      <c r="AX17" s="28">
        <f t="shared" si="18"/>
        <v>0</v>
      </c>
      <c r="AY17" s="29" t="s">
        <v>516</v>
      </c>
      <c r="AZ17" s="29" t="s">
        <v>539</v>
      </c>
      <c r="BA17" s="23" t="s">
        <v>546</v>
      </c>
      <c r="BC17" s="28">
        <f t="shared" si="19"/>
        <v>0</v>
      </c>
      <c r="BD17" s="28">
        <f t="shared" si="20"/>
        <v>0</v>
      </c>
      <c r="BE17" s="28">
        <v>0</v>
      </c>
      <c r="BF17" s="28">
        <f>17</f>
        <v>17</v>
      </c>
      <c r="BH17" s="14">
        <f t="shared" si="21"/>
        <v>0</v>
      </c>
      <c r="BI17" s="14">
        <f t="shared" si="22"/>
        <v>0</v>
      </c>
      <c r="BJ17" s="14">
        <f t="shared" si="23"/>
        <v>0</v>
      </c>
    </row>
    <row r="18" spans="1:62" x14ac:dyDescent="0.2">
      <c r="A18" s="4" t="s">
        <v>11</v>
      </c>
      <c r="B18" s="4" t="s">
        <v>156</v>
      </c>
      <c r="C18" s="113" t="s">
        <v>309</v>
      </c>
      <c r="D18" s="114"/>
      <c r="E18" s="114"/>
      <c r="F18" s="4" t="s">
        <v>485</v>
      </c>
      <c r="G18" s="59">
        <v>110</v>
      </c>
      <c r="H18" s="14">
        <v>0</v>
      </c>
      <c r="I18" s="14">
        <f t="shared" si="0"/>
        <v>0</v>
      </c>
      <c r="J18" s="14">
        <f t="shared" si="1"/>
        <v>0</v>
      </c>
      <c r="K18" s="14">
        <f t="shared" si="2"/>
        <v>0</v>
      </c>
      <c r="L18" s="24" t="s">
        <v>505</v>
      </c>
      <c r="Z18" s="28">
        <f t="shared" si="3"/>
        <v>0</v>
      </c>
      <c r="AB18" s="28">
        <f t="shared" si="4"/>
        <v>0</v>
      </c>
      <c r="AC18" s="28">
        <f t="shared" si="5"/>
        <v>0</v>
      </c>
      <c r="AD18" s="28">
        <f t="shared" si="6"/>
        <v>0</v>
      </c>
      <c r="AE18" s="28">
        <f t="shared" si="7"/>
        <v>0</v>
      </c>
      <c r="AF18" s="28">
        <f t="shared" si="8"/>
        <v>0</v>
      </c>
      <c r="AG18" s="28">
        <f t="shared" si="9"/>
        <v>0</v>
      </c>
      <c r="AH18" s="28">
        <f t="shared" si="10"/>
        <v>0</v>
      </c>
      <c r="AI18" s="23" t="s">
        <v>515</v>
      </c>
      <c r="AJ18" s="14">
        <f t="shared" si="11"/>
        <v>0</v>
      </c>
      <c r="AK18" s="14">
        <f t="shared" si="12"/>
        <v>0</v>
      </c>
      <c r="AL18" s="14">
        <f t="shared" si="13"/>
        <v>0</v>
      </c>
      <c r="AN18" s="28">
        <v>21</v>
      </c>
      <c r="AO18" s="28">
        <f t="shared" si="14"/>
        <v>0</v>
      </c>
      <c r="AP18" s="28">
        <f t="shared" si="15"/>
        <v>0</v>
      </c>
      <c r="AQ18" s="24" t="s">
        <v>7</v>
      </c>
      <c r="AV18" s="28">
        <f t="shared" si="16"/>
        <v>0</v>
      </c>
      <c r="AW18" s="28">
        <f t="shared" si="17"/>
        <v>0</v>
      </c>
      <c r="AX18" s="28">
        <f t="shared" si="18"/>
        <v>0</v>
      </c>
      <c r="AY18" s="29" t="s">
        <v>516</v>
      </c>
      <c r="AZ18" s="29" t="s">
        <v>539</v>
      </c>
      <c r="BA18" s="23" t="s">
        <v>546</v>
      </c>
      <c r="BC18" s="28">
        <f t="shared" si="19"/>
        <v>0</v>
      </c>
      <c r="BD18" s="28">
        <f t="shared" si="20"/>
        <v>0</v>
      </c>
      <c r="BE18" s="28">
        <v>0</v>
      </c>
      <c r="BF18" s="28">
        <f>18</f>
        <v>18</v>
      </c>
      <c r="BH18" s="14">
        <f t="shared" si="21"/>
        <v>0</v>
      </c>
      <c r="BI18" s="14">
        <f t="shared" si="22"/>
        <v>0</v>
      </c>
      <c r="BJ18" s="14">
        <f t="shared" si="23"/>
        <v>0</v>
      </c>
    </row>
    <row r="19" spans="1:62" x14ac:dyDescent="0.2">
      <c r="A19" s="4" t="s">
        <v>12</v>
      </c>
      <c r="B19" s="4" t="s">
        <v>157</v>
      </c>
      <c r="C19" s="113" t="s">
        <v>310</v>
      </c>
      <c r="D19" s="114"/>
      <c r="E19" s="114"/>
      <c r="F19" s="4" t="s">
        <v>486</v>
      </c>
      <c r="G19" s="59">
        <v>45</v>
      </c>
      <c r="H19" s="14">
        <v>0</v>
      </c>
      <c r="I19" s="14">
        <f t="shared" si="0"/>
        <v>0</v>
      </c>
      <c r="J19" s="14">
        <f t="shared" si="1"/>
        <v>0</v>
      </c>
      <c r="K19" s="14">
        <f t="shared" si="2"/>
        <v>0</v>
      </c>
      <c r="L19" s="24" t="s">
        <v>505</v>
      </c>
      <c r="Z19" s="28">
        <f t="shared" si="3"/>
        <v>0</v>
      </c>
      <c r="AB19" s="28">
        <f t="shared" si="4"/>
        <v>0</v>
      </c>
      <c r="AC19" s="28">
        <f t="shared" si="5"/>
        <v>0</v>
      </c>
      <c r="AD19" s="28">
        <f t="shared" si="6"/>
        <v>0</v>
      </c>
      <c r="AE19" s="28">
        <f t="shared" si="7"/>
        <v>0</v>
      </c>
      <c r="AF19" s="28">
        <f t="shared" si="8"/>
        <v>0</v>
      </c>
      <c r="AG19" s="28">
        <f t="shared" si="9"/>
        <v>0</v>
      </c>
      <c r="AH19" s="28">
        <f t="shared" si="10"/>
        <v>0</v>
      </c>
      <c r="AI19" s="23" t="s">
        <v>515</v>
      </c>
      <c r="AJ19" s="14">
        <f t="shared" si="11"/>
        <v>0</v>
      </c>
      <c r="AK19" s="14">
        <f t="shared" si="12"/>
        <v>0</v>
      </c>
      <c r="AL19" s="14">
        <f t="shared" si="13"/>
        <v>0</v>
      </c>
      <c r="AN19" s="28">
        <v>21</v>
      </c>
      <c r="AO19" s="28">
        <f t="shared" si="14"/>
        <v>0</v>
      </c>
      <c r="AP19" s="28">
        <f t="shared" si="15"/>
        <v>0</v>
      </c>
      <c r="AQ19" s="24" t="s">
        <v>7</v>
      </c>
      <c r="AV19" s="28">
        <f t="shared" si="16"/>
        <v>0</v>
      </c>
      <c r="AW19" s="28">
        <f t="shared" si="17"/>
        <v>0</v>
      </c>
      <c r="AX19" s="28">
        <f t="shared" si="18"/>
        <v>0</v>
      </c>
      <c r="AY19" s="29" t="s">
        <v>516</v>
      </c>
      <c r="AZ19" s="29" t="s">
        <v>539</v>
      </c>
      <c r="BA19" s="23" t="s">
        <v>546</v>
      </c>
      <c r="BC19" s="28">
        <f t="shared" si="19"/>
        <v>0</v>
      </c>
      <c r="BD19" s="28">
        <f t="shared" si="20"/>
        <v>0</v>
      </c>
      <c r="BE19" s="28">
        <v>0</v>
      </c>
      <c r="BF19" s="28">
        <f>19</f>
        <v>19</v>
      </c>
      <c r="BH19" s="14">
        <f t="shared" si="21"/>
        <v>0</v>
      </c>
      <c r="BI19" s="14">
        <f t="shared" si="22"/>
        <v>0</v>
      </c>
      <c r="BJ19" s="14">
        <f t="shared" si="23"/>
        <v>0</v>
      </c>
    </row>
    <row r="20" spans="1:62" x14ac:dyDescent="0.2">
      <c r="A20" s="4" t="s">
        <v>13</v>
      </c>
      <c r="B20" s="4" t="s">
        <v>158</v>
      </c>
      <c r="C20" s="113" t="s">
        <v>311</v>
      </c>
      <c r="D20" s="114"/>
      <c r="E20" s="114"/>
      <c r="F20" s="4" t="s">
        <v>486</v>
      </c>
      <c r="G20" s="59">
        <v>353.45600000000002</v>
      </c>
      <c r="H20" s="14">
        <v>0</v>
      </c>
      <c r="I20" s="14">
        <f t="shared" si="0"/>
        <v>0</v>
      </c>
      <c r="J20" s="14">
        <f t="shared" si="1"/>
        <v>0</v>
      </c>
      <c r="K20" s="14">
        <f t="shared" si="2"/>
        <v>0</v>
      </c>
      <c r="L20" s="24" t="s">
        <v>505</v>
      </c>
      <c r="Z20" s="28">
        <f t="shared" si="3"/>
        <v>0</v>
      </c>
      <c r="AB20" s="28">
        <f t="shared" si="4"/>
        <v>0</v>
      </c>
      <c r="AC20" s="28">
        <f t="shared" si="5"/>
        <v>0</v>
      </c>
      <c r="AD20" s="28">
        <f t="shared" si="6"/>
        <v>0</v>
      </c>
      <c r="AE20" s="28">
        <f t="shared" si="7"/>
        <v>0</v>
      </c>
      <c r="AF20" s="28">
        <f t="shared" si="8"/>
        <v>0</v>
      </c>
      <c r="AG20" s="28">
        <f t="shared" si="9"/>
        <v>0</v>
      </c>
      <c r="AH20" s="28">
        <f t="shared" si="10"/>
        <v>0</v>
      </c>
      <c r="AI20" s="23" t="s">
        <v>515</v>
      </c>
      <c r="AJ20" s="14">
        <f t="shared" si="11"/>
        <v>0</v>
      </c>
      <c r="AK20" s="14">
        <f t="shared" si="12"/>
        <v>0</v>
      </c>
      <c r="AL20" s="14">
        <f t="shared" si="13"/>
        <v>0</v>
      </c>
      <c r="AN20" s="28">
        <v>21</v>
      </c>
      <c r="AO20" s="28">
        <f t="shared" si="14"/>
        <v>0</v>
      </c>
      <c r="AP20" s="28">
        <f t="shared" si="15"/>
        <v>0</v>
      </c>
      <c r="AQ20" s="24" t="s">
        <v>7</v>
      </c>
      <c r="AV20" s="28">
        <f t="shared" si="16"/>
        <v>0</v>
      </c>
      <c r="AW20" s="28">
        <f t="shared" si="17"/>
        <v>0</v>
      </c>
      <c r="AX20" s="28">
        <f t="shared" si="18"/>
        <v>0</v>
      </c>
      <c r="AY20" s="29" t="s">
        <v>516</v>
      </c>
      <c r="AZ20" s="29" t="s">
        <v>539</v>
      </c>
      <c r="BA20" s="23" t="s">
        <v>546</v>
      </c>
      <c r="BC20" s="28">
        <f t="shared" si="19"/>
        <v>0</v>
      </c>
      <c r="BD20" s="28">
        <f t="shared" si="20"/>
        <v>0</v>
      </c>
      <c r="BE20" s="28">
        <v>0</v>
      </c>
      <c r="BF20" s="28">
        <f>20</f>
        <v>20</v>
      </c>
      <c r="BH20" s="14">
        <f t="shared" si="21"/>
        <v>0</v>
      </c>
      <c r="BI20" s="14">
        <f t="shared" si="22"/>
        <v>0</v>
      </c>
      <c r="BJ20" s="14">
        <f t="shared" si="23"/>
        <v>0</v>
      </c>
    </row>
    <row r="21" spans="1:62" x14ac:dyDescent="0.2">
      <c r="A21" s="4" t="s">
        <v>14</v>
      </c>
      <c r="B21" s="4" t="s">
        <v>159</v>
      </c>
      <c r="C21" s="113" t="s">
        <v>312</v>
      </c>
      <c r="D21" s="114"/>
      <c r="E21" s="114"/>
      <c r="F21" s="4" t="s">
        <v>486</v>
      </c>
      <c r="G21" s="59">
        <v>5</v>
      </c>
      <c r="H21" s="14">
        <v>0</v>
      </c>
      <c r="I21" s="14">
        <f t="shared" si="0"/>
        <v>0</v>
      </c>
      <c r="J21" s="14">
        <f t="shared" si="1"/>
        <v>0</v>
      </c>
      <c r="K21" s="14">
        <f t="shared" si="2"/>
        <v>0</v>
      </c>
      <c r="L21" s="24" t="s">
        <v>505</v>
      </c>
      <c r="Z21" s="28">
        <f t="shared" si="3"/>
        <v>0</v>
      </c>
      <c r="AB21" s="28">
        <f t="shared" si="4"/>
        <v>0</v>
      </c>
      <c r="AC21" s="28">
        <f t="shared" si="5"/>
        <v>0</v>
      </c>
      <c r="AD21" s="28">
        <f t="shared" si="6"/>
        <v>0</v>
      </c>
      <c r="AE21" s="28">
        <f t="shared" si="7"/>
        <v>0</v>
      </c>
      <c r="AF21" s="28">
        <f t="shared" si="8"/>
        <v>0</v>
      </c>
      <c r="AG21" s="28">
        <f t="shared" si="9"/>
        <v>0</v>
      </c>
      <c r="AH21" s="28">
        <f t="shared" si="10"/>
        <v>0</v>
      </c>
      <c r="AI21" s="23" t="s">
        <v>515</v>
      </c>
      <c r="AJ21" s="14">
        <f t="shared" si="11"/>
        <v>0</v>
      </c>
      <c r="AK21" s="14">
        <f t="shared" si="12"/>
        <v>0</v>
      </c>
      <c r="AL21" s="14">
        <f t="shared" si="13"/>
        <v>0</v>
      </c>
      <c r="AN21" s="28">
        <v>21</v>
      </c>
      <c r="AO21" s="28">
        <f t="shared" si="14"/>
        <v>0</v>
      </c>
      <c r="AP21" s="28">
        <f t="shared" si="15"/>
        <v>0</v>
      </c>
      <c r="AQ21" s="24" t="s">
        <v>7</v>
      </c>
      <c r="AV21" s="28">
        <f t="shared" si="16"/>
        <v>0</v>
      </c>
      <c r="AW21" s="28">
        <f t="shared" si="17"/>
        <v>0</v>
      </c>
      <c r="AX21" s="28">
        <f t="shared" si="18"/>
        <v>0</v>
      </c>
      <c r="AY21" s="29" t="s">
        <v>516</v>
      </c>
      <c r="AZ21" s="29" t="s">
        <v>539</v>
      </c>
      <c r="BA21" s="23" t="s">
        <v>546</v>
      </c>
      <c r="BC21" s="28">
        <f t="shared" si="19"/>
        <v>0</v>
      </c>
      <c r="BD21" s="28">
        <f t="shared" si="20"/>
        <v>0</v>
      </c>
      <c r="BE21" s="28">
        <v>0</v>
      </c>
      <c r="BF21" s="28">
        <f>21</f>
        <v>21</v>
      </c>
      <c r="BH21" s="14">
        <f t="shared" si="21"/>
        <v>0</v>
      </c>
      <c r="BI21" s="14">
        <f t="shared" si="22"/>
        <v>0</v>
      </c>
      <c r="BJ21" s="14">
        <f t="shared" si="23"/>
        <v>0</v>
      </c>
    </row>
    <row r="22" spans="1:62" x14ac:dyDescent="0.2">
      <c r="A22" s="3"/>
      <c r="B22" s="10" t="s">
        <v>19</v>
      </c>
      <c r="C22" s="120" t="s">
        <v>313</v>
      </c>
      <c r="D22" s="121"/>
      <c r="E22" s="121"/>
      <c r="F22" s="3" t="s">
        <v>6</v>
      </c>
      <c r="G22" s="3" t="s">
        <v>6</v>
      </c>
      <c r="H22" s="3" t="s">
        <v>6</v>
      </c>
      <c r="I22" s="30">
        <f>SUM(I23:I24)</f>
        <v>0</v>
      </c>
      <c r="J22" s="30">
        <f>SUM(J23:J24)</f>
        <v>0</v>
      </c>
      <c r="K22" s="30">
        <f>SUM(K23:K24)</f>
        <v>0</v>
      </c>
      <c r="L22" s="23"/>
      <c r="AI22" s="23" t="s">
        <v>515</v>
      </c>
      <c r="AS22" s="30">
        <f>SUM(AJ23:AJ24)</f>
        <v>0</v>
      </c>
      <c r="AT22" s="30">
        <f>SUM(AK23:AK24)</f>
        <v>0</v>
      </c>
      <c r="AU22" s="30">
        <f>SUM(AL23:AL24)</f>
        <v>0</v>
      </c>
    </row>
    <row r="23" spans="1:62" x14ac:dyDescent="0.2">
      <c r="A23" s="4" t="s">
        <v>15</v>
      </c>
      <c r="B23" s="4" t="s">
        <v>160</v>
      </c>
      <c r="C23" s="113" t="s">
        <v>314</v>
      </c>
      <c r="D23" s="114"/>
      <c r="E23" s="114"/>
      <c r="F23" s="4" t="s">
        <v>487</v>
      </c>
      <c r="G23" s="59">
        <v>192.85599999999999</v>
      </c>
      <c r="H23" s="14">
        <v>0</v>
      </c>
      <c r="I23" s="14">
        <f>G23*AO23</f>
        <v>0</v>
      </c>
      <c r="J23" s="14">
        <f>G23*AP23</f>
        <v>0</v>
      </c>
      <c r="K23" s="14">
        <f>G23*H23</f>
        <v>0</v>
      </c>
      <c r="L23" s="24" t="s">
        <v>505</v>
      </c>
      <c r="Z23" s="28">
        <f>IF(AQ23="5",BJ23,0)</f>
        <v>0</v>
      </c>
      <c r="AB23" s="28">
        <f>IF(AQ23="1",BH23,0)</f>
        <v>0</v>
      </c>
      <c r="AC23" s="28">
        <f>IF(AQ23="1",BI23,0)</f>
        <v>0</v>
      </c>
      <c r="AD23" s="28">
        <f>IF(AQ23="7",BH23,0)</f>
        <v>0</v>
      </c>
      <c r="AE23" s="28">
        <f>IF(AQ23="7",BI23,0)</f>
        <v>0</v>
      </c>
      <c r="AF23" s="28">
        <f>IF(AQ23="2",BH23,0)</f>
        <v>0</v>
      </c>
      <c r="AG23" s="28">
        <f>IF(AQ23="2",BI23,0)</f>
        <v>0</v>
      </c>
      <c r="AH23" s="28">
        <f>IF(AQ23="0",BJ23,0)</f>
        <v>0</v>
      </c>
      <c r="AI23" s="23" t="s">
        <v>515</v>
      </c>
      <c r="AJ23" s="14">
        <f>IF(AN23=0,K23,0)</f>
        <v>0</v>
      </c>
      <c r="AK23" s="14">
        <f>IF(AN23=15,K23,0)</f>
        <v>0</v>
      </c>
      <c r="AL23" s="14">
        <f>IF(AN23=21,K23,0)</f>
        <v>0</v>
      </c>
      <c r="AN23" s="28">
        <v>21</v>
      </c>
      <c r="AO23" s="28">
        <f>H23*0</f>
        <v>0</v>
      </c>
      <c r="AP23" s="28">
        <f>H23*(1-0)</f>
        <v>0</v>
      </c>
      <c r="AQ23" s="24" t="s">
        <v>7</v>
      </c>
      <c r="AV23" s="28">
        <f>AW23+AX23</f>
        <v>0</v>
      </c>
      <c r="AW23" s="28">
        <f>G23*AO23</f>
        <v>0</v>
      </c>
      <c r="AX23" s="28">
        <f>G23*AP23</f>
        <v>0</v>
      </c>
      <c r="AY23" s="29" t="s">
        <v>517</v>
      </c>
      <c r="AZ23" s="29" t="s">
        <v>539</v>
      </c>
      <c r="BA23" s="23" t="s">
        <v>546</v>
      </c>
      <c r="BC23" s="28">
        <f>AW23+AX23</f>
        <v>0</v>
      </c>
      <c r="BD23" s="28">
        <f>H23/(100-BE23)*100</f>
        <v>0</v>
      </c>
      <c r="BE23" s="28">
        <v>0</v>
      </c>
      <c r="BF23" s="28">
        <f>23</f>
        <v>23</v>
      </c>
      <c r="BH23" s="14">
        <f>G23*AO23</f>
        <v>0</v>
      </c>
      <c r="BI23" s="14">
        <f>G23*AP23</f>
        <v>0</v>
      </c>
      <c r="BJ23" s="14">
        <f>G23*H23</f>
        <v>0</v>
      </c>
    </row>
    <row r="24" spans="1:62" x14ac:dyDescent="0.2">
      <c r="A24" s="4" t="s">
        <v>16</v>
      </c>
      <c r="B24" s="4" t="s">
        <v>161</v>
      </c>
      <c r="C24" s="113" t="s">
        <v>315</v>
      </c>
      <c r="D24" s="114"/>
      <c r="E24" s="114"/>
      <c r="F24" s="4" t="s">
        <v>487</v>
      </c>
      <c r="G24" s="59">
        <v>192.85599999999999</v>
      </c>
      <c r="H24" s="14">
        <v>0</v>
      </c>
      <c r="I24" s="14">
        <f>G24*AO24</f>
        <v>0</v>
      </c>
      <c r="J24" s="14">
        <f>G24*AP24</f>
        <v>0</v>
      </c>
      <c r="K24" s="14">
        <f>G24*H24</f>
        <v>0</v>
      </c>
      <c r="L24" s="24" t="s">
        <v>505</v>
      </c>
      <c r="Z24" s="28">
        <f>IF(AQ24="5",BJ24,0)</f>
        <v>0</v>
      </c>
      <c r="AB24" s="28">
        <f>IF(AQ24="1",BH24,0)</f>
        <v>0</v>
      </c>
      <c r="AC24" s="28">
        <f>IF(AQ24="1",BI24,0)</f>
        <v>0</v>
      </c>
      <c r="AD24" s="28">
        <f>IF(AQ24="7",BH24,0)</f>
        <v>0</v>
      </c>
      <c r="AE24" s="28">
        <f>IF(AQ24="7",BI24,0)</f>
        <v>0</v>
      </c>
      <c r="AF24" s="28">
        <f>IF(AQ24="2",BH24,0)</f>
        <v>0</v>
      </c>
      <c r="AG24" s="28">
        <f>IF(AQ24="2",BI24,0)</f>
        <v>0</v>
      </c>
      <c r="AH24" s="28">
        <f>IF(AQ24="0",BJ24,0)</f>
        <v>0</v>
      </c>
      <c r="AI24" s="23" t="s">
        <v>515</v>
      </c>
      <c r="AJ24" s="14">
        <f>IF(AN24=0,K24,0)</f>
        <v>0</v>
      </c>
      <c r="AK24" s="14">
        <f>IF(AN24=15,K24,0)</f>
        <v>0</v>
      </c>
      <c r="AL24" s="14">
        <f>IF(AN24=21,K24,0)</f>
        <v>0</v>
      </c>
      <c r="AN24" s="28">
        <v>21</v>
      </c>
      <c r="AO24" s="28">
        <f>H24*0</f>
        <v>0</v>
      </c>
      <c r="AP24" s="28">
        <f>H24*(1-0)</f>
        <v>0</v>
      </c>
      <c r="AQ24" s="24" t="s">
        <v>7</v>
      </c>
      <c r="AV24" s="28">
        <f>AW24+AX24</f>
        <v>0</v>
      </c>
      <c r="AW24" s="28">
        <f>G24*AO24</f>
        <v>0</v>
      </c>
      <c r="AX24" s="28">
        <f>G24*AP24</f>
        <v>0</v>
      </c>
      <c r="AY24" s="29" t="s">
        <v>517</v>
      </c>
      <c r="AZ24" s="29" t="s">
        <v>539</v>
      </c>
      <c r="BA24" s="23" t="s">
        <v>546</v>
      </c>
      <c r="BC24" s="28">
        <f>AW24+AX24</f>
        <v>0</v>
      </c>
      <c r="BD24" s="28">
        <f>H24/(100-BE24)*100</f>
        <v>0</v>
      </c>
      <c r="BE24" s="28">
        <v>0</v>
      </c>
      <c r="BF24" s="28">
        <f>24</f>
        <v>24</v>
      </c>
      <c r="BH24" s="14">
        <f>G24*AO24</f>
        <v>0</v>
      </c>
      <c r="BI24" s="14">
        <f>G24*AP24</f>
        <v>0</v>
      </c>
      <c r="BJ24" s="14">
        <f>G24*H24</f>
        <v>0</v>
      </c>
    </row>
    <row r="25" spans="1:62" x14ac:dyDescent="0.2">
      <c r="A25" s="3"/>
      <c r="B25" s="10" t="s">
        <v>22</v>
      </c>
      <c r="C25" s="120" t="s">
        <v>316</v>
      </c>
      <c r="D25" s="121"/>
      <c r="E25" s="121"/>
      <c r="F25" s="3" t="s">
        <v>6</v>
      </c>
      <c r="G25" s="3" t="s">
        <v>6</v>
      </c>
      <c r="H25" s="3" t="s">
        <v>6</v>
      </c>
      <c r="I25" s="30">
        <f>SUM(I26:I29)</f>
        <v>0</v>
      </c>
      <c r="J25" s="30">
        <f>SUM(J26:J29)</f>
        <v>0</v>
      </c>
      <c r="K25" s="30">
        <f>SUM(K26:K29)</f>
        <v>0</v>
      </c>
      <c r="L25" s="23"/>
      <c r="AI25" s="23" t="s">
        <v>515</v>
      </c>
      <c r="AS25" s="30">
        <f>SUM(AJ26:AJ29)</f>
        <v>0</v>
      </c>
      <c r="AT25" s="30">
        <f>SUM(AK26:AK29)</f>
        <v>0</v>
      </c>
      <c r="AU25" s="30">
        <f>SUM(AL26:AL29)</f>
        <v>0</v>
      </c>
    </row>
    <row r="26" spans="1:62" x14ac:dyDescent="0.2">
      <c r="A26" s="4" t="s">
        <v>17</v>
      </c>
      <c r="B26" s="4" t="s">
        <v>162</v>
      </c>
      <c r="C26" s="113" t="s">
        <v>317</v>
      </c>
      <c r="D26" s="114"/>
      <c r="E26" s="114"/>
      <c r="F26" s="4" t="s">
        <v>487</v>
      </c>
      <c r="G26" s="59">
        <v>290.20299999999997</v>
      </c>
      <c r="H26" s="14">
        <v>0</v>
      </c>
      <c r="I26" s="14">
        <f>G26*AO26</f>
        <v>0</v>
      </c>
      <c r="J26" s="14">
        <f>G26*AP26</f>
        <v>0</v>
      </c>
      <c r="K26" s="14">
        <f>G26*H26</f>
        <v>0</v>
      </c>
      <c r="L26" s="24" t="s">
        <v>505</v>
      </c>
      <c r="Z26" s="28">
        <f>IF(AQ26="5",BJ26,0)</f>
        <v>0</v>
      </c>
      <c r="AB26" s="28">
        <f>IF(AQ26="1",BH26,0)</f>
        <v>0</v>
      </c>
      <c r="AC26" s="28">
        <f>IF(AQ26="1",BI26,0)</f>
        <v>0</v>
      </c>
      <c r="AD26" s="28">
        <f>IF(AQ26="7",BH26,0)</f>
        <v>0</v>
      </c>
      <c r="AE26" s="28">
        <f>IF(AQ26="7",BI26,0)</f>
        <v>0</v>
      </c>
      <c r="AF26" s="28">
        <f>IF(AQ26="2",BH26,0)</f>
        <v>0</v>
      </c>
      <c r="AG26" s="28">
        <f>IF(AQ26="2",BI26,0)</f>
        <v>0</v>
      </c>
      <c r="AH26" s="28">
        <f>IF(AQ26="0",BJ26,0)</f>
        <v>0</v>
      </c>
      <c r="AI26" s="23" t="s">
        <v>515</v>
      </c>
      <c r="AJ26" s="14">
        <f>IF(AN26=0,K26,0)</f>
        <v>0</v>
      </c>
      <c r="AK26" s="14">
        <f>IF(AN26=15,K26,0)</f>
        <v>0</v>
      </c>
      <c r="AL26" s="14">
        <f>IF(AN26=21,K26,0)</f>
        <v>0</v>
      </c>
      <c r="AN26" s="28">
        <v>21</v>
      </c>
      <c r="AO26" s="28">
        <f>H26*0</f>
        <v>0</v>
      </c>
      <c r="AP26" s="28">
        <f>H26*(1-0)</f>
        <v>0</v>
      </c>
      <c r="AQ26" s="24" t="s">
        <v>7</v>
      </c>
      <c r="AV26" s="28">
        <f>AW26+AX26</f>
        <v>0</v>
      </c>
      <c r="AW26" s="28">
        <f>G26*AO26</f>
        <v>0</v>
      </c>
      <c r="AX26" s="28">
        <f>G26*AP26</f>
        <v>0</v>
      </c>
      <c r="AY26" s="29" t="s">
        <v>518</v>
      </c>
      <c r="AZ26" s="29" t="s">
        <v>539</v>
      </c>
      <c r="BA26" s="23" t="s">
        <v>546</v>
      </c>
      <c r="BC26" s="28">
        <f>AW26+AX26</f>
        <v>0</v>
      </c>
      <c r="BD26" s="28">
        <f>H26/(100-BE26)*100</f>
        <v>0</v>
      </c>
      <c r="BE26" s="28">
        <v>0</v>
      </c>
      <c r="BF26" s="28">
        <f>26</f>
        <v>26</v>
      </c>
      <c r="BH26" s="14">
        <f>G26*AO26</f>
        <v>0</v>
      </c>
      <c r="BI26" s="14">
        <f>G26*AP26</f>
        <v>0</v>
      </c>
      <c r="BJ26" s="14">
        <f>G26*H26</f>
        <v>0</v>
      </c>
    </row>
    <row r="27" spans="1:62" x14ac:dyDescent="0.2">
      <c r="A27" s="4" t="s">
        <v>18</v>
      </c>
      <c r="B27" s="4" t="s">
        <v>162</v>
      </c>
      <c r="C27" s="113" t="s">
        <v>318</v>
      </c>
      <c r="D27" s="114"/>
      <c r="E27" s="114"/>
      <c r="F27" s="4" t="s">
        <v>487</v>
      </c>
      <c r="G27" s="59">
        <v>290.20299999999997</v>
      </c>
      <c r="H27" s="14">
        <v>0</v>
      </c>
      <c r="I27" s="14">
        <f>G27*AO27</f>
        <v>0</v>
      </c>
      <c r="J27" s="14">
        <f>G27*AP27</f>
        <v>0</v>
      </c>
      <c r="K27" s="14">
        <f>G27*H27</f>
        <v>0</v>
      </c>
      <c r="L27" s="24" t="s">
        <v>505</v>
      </c>
      <c r="Z27" s="28">
        <f>IF(AQ27="5",BJ27,0)</f>
        <v>0</v>
      </c>
      <c r="AB27" s="28">
        <f>IF(AQ27="1",BH27,0)</f>
        <v>0</v>
      </c>
      <c r="AC27" s="28">
        <f>IF(AQ27="1",BI27,0)</f>
        <v>0</v>
      </c>
      <c r="AD27" s="28">
        <f>IF(AQ27="7",BH27,0)</f>
        <v>0</v>
      </c>
      <c r="AE27" s="28">
        <f>IF(AQ27="7",BI27,0)</f>
        <v>0</v>
      </c>
      <c r="AF27" s="28">
        <f>IF(AQ27="2",BH27,0)</f>
        <v>0</v>
      </c>
      <c r="AG27" s="28">
        <f>IF(AQ27="2",BI27,0)</f>
        <v>0</v>
      </c>
      <c r="AH27" s="28">
        <f>IF(AQ27="0",BJ27,0)</f>
        <v>0</v>
      </c>
      <c r="AI27" s="23" t="s">
        <v>515</v>
      </c>
      <c r="AJ27" s="14">
        <f>IF(AN27=0,K27,0)</f>
        <v>0</v>
      </c>
      <c r="AK27" s="14">
        <f>IF(AN27=15,K27,0)</f>
        <v>0</v>
      </c>
      <c r="AL27" s="14">
        <f>IF(AN27=21,K27,0)</f>
        <v>0</v>
      </c>
      <c r="AN27" s="28">
        <v>21</v>
      </c>
      <c r="AO27" s="28">
        <f>H27*0</f>
        <v>0</v>
      </c>
      <c r="AP27" s="28">
        <f>H27*(1-0)</f>
        <v>0</v>
      </c>
      <c r="AQ27" s="24" t="s">
        <v>7</v>
      </c>
      <c r="AV27" s="28">
        <f>AW27+AX27</f>
        <v>0</v>
      </c>
      <c r="AW27" s="28">
        <f>G27*AO27</f>
        <v>0</v>
      </c>
      <c r="AX27" s="28">
        <f>G27*AP27</f>
        <v>0</v>
      </c>
      <c r="AY27" s="29" t="s">
        <v>518</v>
      </c>
      <c r="AZ27" s="29" t="s">
        <v>539</v>
      </c>
      <c r="BA27" s="23" t="s">
        <v>546</v>
      </c>
      <c r="BC27" s="28">
        <f>AW27+AX27</f>
        <v>0</v>
      </c>
      <c r="BD27" s="28">
        <f>H27/(100-BE27)*100</f>
        <v>0</v>
      </c>
      <c r="BE27" s="28">
        <v>0</v>
      </c>
      <c r="BF27" s="28">
        <f>27</f>
        <v>27</v>
      </c>
      <c r="BH27" s="14">
        <f>G27*AO27</f>
        <v>0</v>
      </c>
      <c r="BI27" s="14">
        <f>G27*AP27</f>
        <v>0</v>
      </c>
      <c r="BJ27" s="14">
        <f>G27*H27</f>
        <v>0</v>
      </c>
    </row>
    <row r="28" spans="1:62" x14ac:dyDescent="0.2">
      <c r="A28" s="4" t="s">
        <v>19</v>
      </c>
      <c r="B28" s="4" t="s">
        <v>163</v>
      </c>
      <c r="C28" s="113" t="s">
        <v>319</v>
      </c>
      <c r="D28" s="114"/>
      <c r="E28" s="114"/>
      <c r="F28" s="4" t="s">
        <v>487</v>
      </c>
      <c r="G28" s="59">
        <v>290.20299999999997</v>
      </c>
      <c r="H28" s="14">
        <v>0</v>
      </c>
      <c r="I28" s="14">
        <f>G28*AO28</f>
        <v>0</v>
      </c>
      <c r="J28" s="14">
        <f>G28*AP28</f>
        <v>0</v>
      </c>
      <c r="K28" s="14">
        <f>G28*H28</f>
        <v>0</v>
      </c>
      <c r="L28" s="24" t="s">
        <v>505</v>
      </c>
      <c r="Z28" s="28">
        <f>IF(AQ28="5",BJ28,0)</f>
        <v>0</v>
      </c>
      <c r="AB28" s="28">
        <f>IF(AQ28="1",BH28,0)</f>
        <v>0</v>
      </c>
      <c r="AC28" s="28">
        <f>IF(AQ28="1",BI28,0)</f>
        <v>0</v>
      </c>
      <c r="AD28" s="28">
        <f>IF(AQ28="7",BH28,0)</f>
        <v>0</v>
      </c>
      <c r="AE28" s="28">
        <f>IF(AQ28="7",BI28,0)</f>
        <v>0</v>
      </c>
      <c r="AF28" s="28">
        <f>IF(AQ28="2",BH28,0)</f>
        <v>0</v>
      </c>
      <c r="AG28" s="28">
        <f>IF(AQ28="2",BI28,0)</f>
        <v>0</v>
      </c>
      <c r="AH28" s="28">
        <f>IF(AQ28="0",BJ28,0)</f>
        <v>0</v>
      </c>
      <c r="AI28" s="23" t="s">
        <v>515</v>
      </c>
      <c r="AJ28" s="14">
        <f>IF(AN28=0,K28,0)</f>
        <v>0</v>
      </c>
      <c r="AK28" s="14">
        <f>IF(AN28=15,K28,0)</f>
        <v>0</v>
      </c>
      <c r="AL28" s="14">
        <f>IF(AN28=21,K28,0)</f>
        <v>0</v>
      </c>
      <c r="AN28" s="28">
        <v>21</v>
      </c>
      <c r="AO28" s="28">
        <f>H28*0</f>
        <v>0</v>
      </c>
      <c r="AP28" s="28">
        <f>H28*(1-0)</f>
        <v>0</v>
      </c>
      <c r="AQ28" s="24" t="s">
        <v>7</v>
      </c>
      <c r="AV28" s="28">
        <f>AW28+AX28</f>
        <v>0</v>
      </c>
      <c r="AW28" s="28">
        <f>G28*AO28</f>
        <v>0</v>
      </c>
      <c r="AX28" s="28">
        <f>G28*AP28</f>
        <v>0</v>
      </c>
      <c r="AY28" s="29" t="s">
        <v>518</v>
      </c>
      <c r="AZ28" s="29" t="s">
        <v>539</v>
      </c>
      <c r="BA28" s="23" t="s">
        <v>546</v>
      </c>
      <c r="BC28" s="28">
        <f>AW28+AX28</f>
        <v>0</v>
      </c>
      <c r="BD28" s="28">
        <f>H28/(100-BE28)*100</f>
        <v>0</v>
      </c>
      <c r="BE28" s="28">
        <v>0</v>
      </c>
      <c r="BF28" s="28">
        <f>28</f>
        <v>28</v>
      </c>
      <c r="BH28" s="14">
        <f>G28*AO28</f>
        <v>0</v>
      </c>
      <c r="BI28" s="14">
        <f>G28*AP28</f>
        <v>0</v>
      </c>
      <c r="BJ28" s="14">
        <f>G28*H28</f>
        <v>0</v>
      </c>
    </row>
    <row r="29" spans="1:62" x14ac:dyDescent="0.2">
      <c r="A29" s="4" t="s">
        <v>20</v>
      </c>
      <c r="B29" s="4" t="s">
        <v>163</v>
      </c>
      <c r="C29" s="113" t="s">
        <v>320</v>
      </c>
      <c r="D29" s="114"/>
      <c r="E29" s="114"/>
      <c r="F29" s="4" t="s">
        <v>487</v>
      </c>
      <c r="G29" s="59">
        <v>290.20299999999997</v>
      </c>
      <c r="H29" s="14">
        <v>0</v>
      </c>
      <c r="I29" s="14">
        <f>G29*AO29</f>
        <v>0</v>
      </c>
      <c r="J29" s="14">
        <f>G29*AP29</f>
        <v>0</v>
      </c>
      <c r="K29" s="14">
        <f>G29*H29</f>
        <v>0</v>
      </c>
      <c r="L29" s="24" t="s">
        <v>505</v>
      </c>
      <c r="Z29" s="28">
        <f>IF(AQ29="5",BJ29,0)</f>
        <v>0</v>
      </c>
      <c r="AB29" s="28">
        <f>IF(AQ29="1",BH29,0)</f>
        <v>0</v>
      </c>
      <c r="AC29" s="28">
        <f>IF(AQ29="1",BI29,0)</f>
        <v>0</v>
      </c>
      <c r="AD29" s="28">
        <f>IF(AQ29="7",BH29,0)</f>
        <v>0</v>
      </c>
      <c r="AE29" s="28">
        <f>IF(AQ29="7",BI29,0)</f>
        <v>0</v>
      </c>
      <c r="AF29" s="28">
        <f>IF(AQ29="2",BH29,0)</f>
        <v>0</v>
      </c>
      <c r="AG29" s="28">
        <f>IF(AQ29="2",BI29,0)</f>
        <v>0</v>
      </c>
      <c r="AH29" s="28">
        <f>IF(AQ29="0",BJ29,0)</f>
        <v>0</v>
      </c>
      <c r="AI29" s="23" t="s">
        <v>515</v>
      </c>
      <c r="AJ29" s="14">
        <f>IF(AN29=0,K29,0)</f>
        <v>0</v>
      </c>
      <c r="AK29" s="14">
        <f>IF(AN29=15,K29,0)</f>
        <v>0</v>
      </c>
      <c r="AL29" s="14">
        <f>IF(AN29=21,K29,0)</f>
        <v>0</v>
      </c>
      <c r="AN29" s="28">
        <v>21</v>
      </c>
      <c r="AO29" s="28">
        <f>H29*0</f>
        <v>0</v>
      </c>
      <c r="AP29" s="28">
        <f>H29*(1-0)</f>
        <v>0</v>
      </c>
      <c r="AQ29" s="24" t="s">
        <v>7</v>
      </c>
      <c r="AV29" s="28">
        <f>AW29+AX29</f>
        <v>0</v>
      </c>
      <c r="AW29" s="28">
        <f>G29*AO29</f>
        <v>0</v>
      </c>
      <c r="AX29" s="28">
        <f>G29*AP29</f>
        <v>0</v>
      </c>
      <c r="AY29" s="29" t="s">
        <v>518</v>
      </c>
      <c r="AZ29" s="29" t="s">
        <v>539</v>
      </c>
      <c r="BA29" s="23" t="s">
        <v>546</v>
      </c>
      <c r="BC29" s="28">
        <f>AW29+AX29</f>
        <v>0</v>
      </c>
      <c r="BD29" s="28">
        <f>H29/(100-BE29)*100</f>
        <v>0</v>
      </c>
      <c r="BE29" s="28">
        <v>0</v>
      </c>
      <c r="BF29" s="28">
        <f>29</f>
        <v>29</v>
      </c>
      <c r="BH29" s="14">
        <f>G29*AO29</f>
        <v>0</v>
      </c>
      <c r="BI29" s="14">
        <f>G29*AP29</f>
        <v>0</v>
      </c>
      <c r="BJ29" s="14">
        <f>G29*H29</f>
        <v>0</v>
      </c>
    </row>
    <row r="30" spans="1:62" x14ac:dyDescent="0.2">
      <c r="A30" s="3"/>
      <c r="B30" s="10" t="s">
        <v>23</v>
      </c>
      <c r="C30" s="120" t="s">
        <v>321</v>
      </c>
      <c r="D30" s="121"/>
      <c r="E30" s="121"/>
      <c r="F30" s="3" t="s">
        <v>6</v>
      </c>
      <c r="G30" s="3" t="s">
        <v>6</v>
      </c>
      <c r="H30" s="3" t="s">
        <v>6</v>
      </c>
      <c r="I30" s="30">
        <f>SUM(I31:I32)</f>
        <v>0</v>
      </c>
      <c r="J30" s="30">
        <f>SUM(J31:J32)</f>
        <v>0</v>
      </c>
      <c r="K30" s="30">
        <f>SUM(K31:K32)</f>
        <v>0</v>
      </c>
      <c r="L30" s="23"/>
      <c r="AI30" s="23" t="s">
        <v>515</v>
      </c>
      <c r="AS30" s="30">
        <f>SUM(AJ31:AJ32)</f>
        <v>0</v>
      </c>
      <c r="AT30" s="30">
        <f>SUM(AK31:AK32)</f>
        <v>0</v>
      </c>
      <c r="AU30" s="30">
        <f>SUM(AL31:AL32)</f>
        <v>0</v>
      </c>
    </row>
    <row r="31" spans="1:62" x14ac:dyDescent="0.2">
      <c r="A31" s="4" t="s">
        <v>21</v>
      </c>
      <c r="B31" s="4" t="s">
        <v>164</v>
      </c>
      <c r="C31" s="113" t="s">
        <v>322</v>
      </c>
      <c r="D31" s="114"/>
      <c r="E31" s="114"/>
      <c r="F31" s="4" t="s">
        <v>487</v>
      </c>
      <c r="G31" s="59">
        <v>290.20299999999997</v>
      </c>
      <c r="H31" s="14">
        <v>0</v>
      </c>
      <c r="I31" s="14">
        <f>G31*AO31</f>
        <v>0</v>
      </c>
      <c r="J31" s="14">
        <f>G31*AP31</f>
        <v>0</v>
      </c>
      <c r="K31" s="14">
        <f>G31*H31</f>
        <v>0</v>
      </c>
      <c r="L31" s="24" t="s">
        <v>505</v>
      </c>
      <c r="Z31" s="28">
        <f>IF(AQ31="5",BJ31,0)</f>
        <v>0</v>
      </c>
      <c r="AB31" s="28">
        <f>IF(AQ31="1",BH31,0)</f>
        <v>0</v>
      </c>
      <c r="AC31" s="28">
        <f>IF(AQ31="1",BI31,0)</f>
        <v>0</v>
      </c>
      <c r="AD31" s="28">
        <f>IF(AQ31="7",BH31,0)</f>
        <v>0</v>
      </c>
      <c r="AE31" s="28">
        <f>IF(AQ31="7",BI31,0)</f>
        <v>0</v>
      </c>
      <c r="AF31" s="28">
        <f>IF(AQ31="2",BH31,0)</f>
        <v>0</v>
      </c>
      <c r="AG31" s="28">
        <f>IF(AQ31="2",BI31,0)</f>
        <v>0</v>
      </c>
      <c r="AH31" s="28">
        <f>IF(AQ31="0",BJ31,0)</f>
        <v>0</v>
      </c>
      <c r="AI31" s="23" t="s">
        <v>515</v>
      </c>
      <c r="AJ31" s="14">
        <f>IF(AN31=0,K31,0)</f>
        <v>0</v>
      </c>
      <c r="AK31" s="14">
        <f>IF(AN31=15,K31,0)</f>
        <v>0</v>
      </c>
      <c r="AL31" s="14">
        <f>IF(AN31=21,K31,0)</f>
        <v>0</v>
      </c>
      <c r="AN31" s="28">
        <v>21</v>
      </c>
      <c r="AO31" s="28">
        <f>H31*0</f>
        <v>0</v>
      </c>
      <c r="AP31" s="28">
        <f>H31*(1-0)</f>
        <v>0</v>
      </c>
      <c r="AQ31" s="24" t="s">
        <v>7</v>
      </c>
      <c r="AV31" s="28">
        <f>AW31+AX31</f>
        <v>0</v>
      </c>
      <c r="AW31" s="28">
        <f>G31*AO31</f>
        <v>0</v>
      </c>
      <c r="AX31" s="28">
        <f>G31*AP31</f>
        <v>0</v>
      </c>
      <c r="AY31" s="29" t="s">
        <v>519</v>
      </c>
      <c r="AZ31" s="29" t="s">
        <v>539</v>
      </c>
      <c r="BA31" s="23" t="s">
        <v>546</v>
      </c>
      <c r="BC31" s="28">
        <f>AW31+AX31</f>
        <v>0</v>
      </c>
      <c r="BD31" s="28">
        <f>H31/(100-BE31)*100</f>
        <v>0</v>
      </c>
      <c r="BE31" s="28">
        <v>0</v>
      </c>
      <c r="BF31" s="28">
        <f>31</f>
        <v>31</v>
      </c>
      <c r="BH31" s="14">
        <f>G31*AO31</f>
        <v>0</v>
      </c>
      <c r="BI31" s="14">
        <f>G31*AP31</f>
        <v>0</v>
      </c>
      <c r="BJ31" s="14">
        <f>G31*H31</f>
        <v>0</v>
      </c>
    </row>
    <row r="32" spans="1:62" x14ac:dyDescent="0.2">
      <c r="A32" s="4" t="s">
        <v>22</v>
      </c>
      <c r="B32" s="4" t="s">
        <v>165</v>
      </c>
      <c r="C32" s="113" t="s">
        <v>323</v>
      </c>
      <c r="D32" s="114"/>
      <c r="E32" s="114"/>
      <c r="F32" s="4" t="s">
        <v>487</v>
      </c>
      <c r="G32" s="59">
        <v>290.20299999999997</v>
      </c>
      <c r="H32" s="14">
        <v>0</v>
      </c>
      <c r="I32" s="14">
        <f>G32*AO32</f>
        <v>0</v>
      </c>
      <c r="J32" s="14">
        <f>G32*AP32</f>
        <v>0</v>
      </c>
      <c r="K32" s="14">
        <f>G32*H32</f>
        <v>0</v>
      </c>
      <c r="L32" s="24" t="s">
        <v>505</v>
      </c>
      <c r="Z32" s="28">
        <f>IF(AQ32="5",BJ32,0)</f>
        <v>0</v>
      </c>
      <c r="AB32" s="28">
        <f>IF(AQ32="1",BH32,0)</f>
        <v>0</v>
      </c>
      <c r="AC32" s="28">
        <f>IF(AQ32="1",BI32,0)</f>
        <v>0</v>
      </c>
      <c r="AD32" s="28">
        <f>IF(AQ32="7",BH32,0)</f>
        <v>0</v>
      </c>
      <c r="AE32" s="28">
        <f>IF(AQ32="7",BI32,0)</f>
        <v>0</v>
      </c>
      <c r="AF32" s="28">
        <f>IF(AQ32="2",BH32,0)</f>
        <v>0</v>
      </c>
      <c r="AG32" s="28">
        <f>IF(AQ32="2",BI32,0)</f>
        <v>0</v>
      </c>
      <c r="AH32" s="28">
        <f>IF(AQ32="0",BJ32,0)</f>
        <v>0</v>
      </c>
      <c r="AI32" s="23" t="s">
        <v>515</v>
      </c>
      <c r="AJ32" s="14">
        <f>IF(AN32=0,K32,0)</f>
        <v>0</v>
      </c>
      <c r="AK32" s="14">
        <f>IF(AN32=15,K32,0)</f>
        <v>0</v>
      </c>
      <c r="AL32" s="14">
        <f>IF(AN32=21,K32,0)</f>
        <v>0</v>
      </c>
      <c r="AN32" s="28">
        <v>21</v>
      </c>
      <c r="AO32" s="28">
        <f>H32*0</f>
        <v>0</v>
      </c>
      <c r="AP32" s="28">
        <f>H32*(1-0)</f>
        <v>0</v>
      </c>
      <c r="AQ32" s="24" t="s">
        <v>7</v>
      </c>
      <c r="AV32" s="28">
        <f>AW32+AX32</f>
        <v>0</v>
      </c>
      <c r="AW32" s="28">
        <f>G32*AO32</f>
        <v>0</v>
      </c>
      <c r="AX32" s="28">
        <f>G32*AP32</f>
        <v>0</v>
      </c>
      <c r="AY32" s="29" t="s">
        <v>519</v>
      </c>
      <c r="AZ32" s="29" t="s">
        <v>539</v>
      </c>
      <c r="BA32" s="23" t="s">
        <v>546</v>
      </c>
      <c r="BC32" s="28">
        <f>AW32+AX32</f>
        <v>0</v>
      </c>
      <c r="BD32" s="28">
        <f>H32/(100-BE32)*100</f>
        <v>0</v>
      </c>
      <c r="BE32" s="28">
        <v>0</v>
      </c>
      <c r="BF32" s="28">
        <f>32</f>
        <v>32</v>
      </c>
      <c r="BH32" s="14">
        <f>G32*AO32</f>
        <v>0</v>
      </c>
      <c r="BI32" s="14">
        <f>G32*AP32</f>
        <v>0</v>
      </c>
      <c r="BJ32" s="14">
        <f>G32*H32</f>
        <v>0</v>
      </c>
    </row>
    <row r="33" spans="1:62" x14ac:dyDescent="0.2">
      <c r="A33" s="3"/>
      <c r="B33" s="10" t="s">
        <v>24</v>
      </c>
      <c r="C33" s="120" t="s">
        <v>324</v>
      </c>
      <c r="D33" s="121"/>
      <c r="E33" s="121"/>
      <c r="F33" s="3" t="s">
        <v>6</v>
      </c>
      <c r="G33" s="3" t="s">
        <v>6</v>
      </c>
      <c r="H33" s="3" t="s">
        <v>6</v>
      </c>
      <c r="I33" s="30">
        <f>SUM(I34:I36)</f>
        <v>0</v>
      </c>
      <c r="J33" s="30">
        <f>SUM(J34:J36)</f>
        <v>0</v>
      </c>
      <c r="K33" s="30">
        <f>SUM(K34:K36)</f>
        <v>0</v>
      </c>
      <c r="L33" s="23"/>
      <c r="AI33" s="23" t="s">
        <v>515</v>
      </c>
      <c r="AS33" s="30">
        <f>SUM(AJ34:AJ36)</f>
        <v>0</v>
      </c>
      <c r="AT33" s="30">
        <f>SUM(AK34:AK36)</f>
        <v>0</v>
      </c>
      <c r="AU33" s="30">
        <f>SUM(AL34:AL36)</f>
        <v>0</v>
      </c>
    </row>
    <row r="34" spans="1:62" x14ac:dyDescent="0.2">
      <c r="A34" s="4" t="s">
        <v>23</v>
      </c>
      <c r="B34" s="4" t="s">
        <v>166</v>
      </c>
      <c r="C34" s="113" t="s">
        <v>325</v>
      </c>
      <c r="D34" s="114"/>
      <c r="E34" s="114"/>
      <c r="F34" s="4" t="s">
        <v>486</v>
      </c>
      <c r="G34" s="59">
        <v>50</v>
      </c>
      <c r="H34" s="14">
        <v>0</v>
      </c>
      <c r="I34" s="14">
        <f>G34*AO34</f>
        <v>0</v>
      </c>
      <c r="J34" s="14">
        <f>G34*AP34</f>
        <v>0</v>
      </c>
      <c r="K34" s="14">
        <f>G34*H34</f>
        <v>0</v>
      </c>
      <c r="L34" s="24" t="s">
        <v>505</v>
      </c>
      <c r="Z34" s="28">
        <f>IF(AQ34="5",BJ34,0)</f>
        <v>0</v>
      </c>
      <c r="AB34" s="28">
        <f>IF(AQ34="1",BH34,0)</f>
        <v>0</v>
      </c>
      <c r="AC34" s="28">
        <f>IF(AQ34="1",BI34,0)</f>
        <v>0</v>
      </c>
      <c r="AD34" s="28">
        <f>IF(AQ34="7",BH34,0)</f>
        <v>0</v>
      </c>
      <c r="AE34" s="28">
        <f>IF(AQ34="7",BI34,0)</f>
        <v>0</v>
      </c>
      <c r="AF34" s="28">
        <f>IF(AQ34="2",BH34,0)</f>
        <v>0</v>
      </c>
      <c r="AG34" s="28">
        <f>IF(AQ34="2",BI34,0)</f>
        <v>0</v>
      </c>
      <c r="AH34" s="28">
        <f>IF(AQ34="0",BJ34,0)</f>
        <v>0</v>
      </c>
      <c r="AI34" s="23" t="s">
        <v>515</v>
      </c>
      <c r="AJ34" s="14">
        <f>IF(AN34=0,K34,0)</f>
        <v>0</v>
      </c>
      <c r="AK34" s="14">
        <f>IF(AN34=15,K34,0)</f>
        <v>0</v>
      </c>
      <c r="AL34" s="14">
        <f>IF(AN34=21,K34,0)</f>
        <v>0</v>
      </c>
      <c r="AN34" s="28">
        <v>21</v>
      </c>
      <c r="AO34" s="28">
        <f>H34*0.204419889502762</f>
        <v>0</v>
      </c>
      <c r="AP34" s="28">
        <f>H34*(1-0.204419889502762)</f>
        <v>0</v>
      </c>
      <c r="AQ34" s="24" t="s">
        <v>7</v>
      </c>
      <c r="AV34" s="28">
        <f>AW34+AX34</f>
        <v>0</v>
      </c>
      <c r="AW34" s="28">
        <f>G34*AO34</f>
        <v>0</v>
      </c>
      <c r="AX34" s="28">
        <f>G34*AP34</f>
        <v>0</v>
      </c>
      <c r="AY34" s="29" t="s">
        <v>520</v>
      </c>
      <c r="AZ34" s="29" t="s">
        <v>539</v>
      </c>
      <c r="BA34" s="23" t="s">
        <v>546</v>
      </c>
      <c r="BC34" s="28">
        <f>AW34+AX34</f>
        <v>0</v>
      </c>
      <c r="BD34" s="28">
        <f>H34/(100-BE34)*100</f>
        <v>0</v>
      </c>
      <c r="BE34" s="28">
        <v>0</v>
      </c>
      <c r="BF34" s="28">
        <f>34</f>
        <v>34</v>
      </c>
      <c r="BH34" s="14">
        <f>G34*AO34</f>
        <v>0</v>
      </c>
      <c r="BI34" s="14">
        <f>G34*AP34</f>
        <v>0</v>
      </c>
      <c r="BJ34" s="14">
        <f>G34*H34</f>
        <v>0</v>
      </c>
    </row>
    <row r="35" spans="1:62" x14ac:dyDescent="0.2">
      <c r="A35" s="4" t="s">
        <v>24</v>
      </c>
      <c r="B35" s="4" t="s">
        <v>167</v>
      </c>
      <c r="C35" s="113" t="s">
        <v>326</v>
      </c>
      <c r="D35" s="114"/>
      <c r="E35" s="114"/>
      <c r="F35" s="4" t="s">
        <v>486</v>
      </c>
      <c r="G35" s="59">
        <v>50</v>
      </c>
      <c r="H35" s="14">
        <v>0</v>
      </c>
      <c r="I35" s="14">
        <f>G35*AO35</f>
        <v>0</v>
      </c>
      <c r="J35" s="14">
        <f>G35*AP35</f>
        <v>0</v>
      </c>
      <c r="K35" s="14">
        <f>G35*H35</f>
        <v>0</v>
      </c>
      <c r="L35" s="24" t="s">
        <v>505</v>
      </c>
      <c r="Z35" s="28">
        <f>IF(AQ35="5",BJ35,0)</f>
        <v>0</v>
      </c>
      <c r="AB35" s="28">
        <f>IF(AQ35="1",BH35,0)</f>
        <v>0</v>
      </c>
      <c r="AC35" s="28">
        <f>IF(AQ35="1",BI35,0)</f>
        <v>0</v>
      </c>
      <c r="AD35" s="28">
        <f>IF(AQ35="7",BH35,0)</f>
        <v>0</v>
      </c>
      <c r="AE35" s="28">
        <f>IF(AQ35="7",BI35,0)</f>
        <v>0</v>
      </c>
      <c r="AF35" s="28">
        <f>IF(AQ35="2",BH35,0)</f>
        <v>0</v>
      </c>
      <c r="AG35" s="28">
        <f>IF(AQ35="2",BI35,0)</f>
        <v>0</v>
      </c>
      <c r="AH35" s="28">
        <f>IF(AQ35="0",BJ35,0)</f>
        <v>0</v>
      </c>
      <c r="AI35" s="23" t="s">
        <v>515</v>
      </c>
      <c r="AJ35" s="14">
        <f>IF(AN35=0,K35,0)</f>
        <v>0</v>
      </c>
      <c r="AK35" s="14">
        <f>IF(AN35=15,K35,0)</f>
        <v>0</v>
      </c>
      <c r="AL35" s="14">
        <f>IF(AN35=21,K35,0)</f>
        <v>0</v>
      </c>
      <c r="AN35" s="28">
        <v>21</v>
      </c>
      <c r="AO35" s="28">
        <f>H35*0</f>
        <v>0</v>
      </c>
      <c r="AP35" s="28">
        <f>H35*(1-0)</f>
        <v>0</v>
      </c>
      <c r="AQ35" s="24" t="s">
        <v>7</v>
      </c>
      <c r="AV35" s="28">
        <f>AW35+AX35</f>
        <v>0</v>
      </c>
      <c r="AW35" s="28">
        <f>G35*AO35</f>
        <v>0</v>
      </c>
      <c r="AX35" s="28">
        <f>G35*AP35</f>
        <v>0</v>
      </c>
      <c r="AY35" s="29" t="s">
        <v>520</v>
      </c>
      <c r="AZ35" s="29" t="s">
        <v>539</v>
      </c>
      <c r="BA35" s="23" t="s">
        <v>546</v>
      </c>
      <c r="BC35" s="28">
        <f>AW35+AX35</f>
        <v>0</v>
      </c>
      <c r="BD35" s="28">
        <f>H35/(100-BE35)*100</f>
        <v>0</v>
      </c>
      <c r="BE35" s="28">
        <v>0</v>
      </c>
      <c r="BF35" s="28">
        <f>35</f>
        <v>35</v>
      </c>
      <c r="BH35" s="14">
        <f>G35*AO35</f>
        <v>0</v>
      </c>
      <c r="BI35" s="14">
        <f>G35*AP35</f>
        <v>0</v>
      </c>
      <c r="BJ35" s="14">
        <f>G35*H35</f>
        <v>0</v>
      </c>
    </row>
    <row r="36" spans="1:62" x14ac:dyDescent="0.2">
      <c r="A36" s="4" t="s">
        <v>25</v>
      </c>
      <c r="B36" s="4" t="s">
        <v>168</v>
      </c>
      <c r="C36" s="113" t="s">
        <v>327</v>
      </c>
      <c r="D36" s="114"/>
      <c r="E36" s="114"/>
      <c r="F36" s="4" t="s">
        <v>486</v>
      </c>
      <c r="G36" s="59">
        <v>30</v>
      </c>
      <c r="H36" s="14">
        <v>0</v>
      </c>
      <c r="I36" s="14">
        <f>G36*AO36</f>
        <v>0</v>
      </c>
      <c r="J36" s="14">
        <f>G36*AP36</f>
        <v>0</v>
      </c>
      <c r="K36" s="14">
        <f>G36*H36</f>
        <v>0</v>
      </c>
      <c r="L36" s="24" t="s">
        <v>505</v>
      </c>
      <c r="Z36" s="28">
        <f>IF(AQ36="5",BJ36,0)</f>
        <v>0</v>
      </c>
      <c r="AB36" s="28">
        <f>IF(AQ36="1",BH36,0)</f>
        <v>0</v>
      </c>
      <c r="AC36" s="28">
        <f>IF(AQ36="1",BI36,0)</f>
        <v>0</v>
      </c>
      <c r="AD36" s="28">
        <f>IF(AQ36="7",BH36,0)</f>
        <v>0</v>
      </c>
      <c r="AE36" s="28">
        <f>IF(AQ36="7",BI36,0)</f>
        <v>0</v>
      </c>
      <c r="AF36" s="28">
        <f>IF(AQ36="2",BH36,0)</f>
        <v>0</v>
      </c>
      <c r="AG36" s="28">
        <f>IF(AQ36="2",BI36,0)</f>
        <v>0</v>
      </c>
      <c r="AH36" s="28">
        <f>IF(AQ36="0",BJ36,0)</f>
        <v>0</v>
      </c>
      <c r="AI36" s="23" t="s">
        <v>515</v>
      </c>
      <c r="AJ36" s="14">
        <f>IF(AN36=0,K36,0)</f>
        <v>0</v>
      </c>
      <c r="AK36" s="14">
        <f>IF(AN36=15,K36,0)</f>
        <v>0</v>
      </c>
      <c r="AL36" s="14">
        <f>IF(AN36=21,K36,0)</f>
        <v>0</v>
      </c>
      <c r="AN36" s="28">
        <v>21</v>
      </c>
      <c r="AO36" s="28">
        <f>H36*0</f>
        <v>0</v>
      </c>
      <c r="AP36" s="28">
        <f>H36*(1-0)</f>
        <v>0</v>
      </c>
      <c r="AQ36" s="24" t="s">
        <v>7</v>
      </c>
      <c r="AV36" s="28">
        <f>AW36+AX36</f>
        <v>0</v>
      </c>
      <c r="AW36" s="28">
        <f>G36*AO36</f>
        <v>0</v>
      </c>
      <c r="AX36" s="28">
        <f>G36*AP36</f>
        <v>0</v>
      </c>
      <c r="AY36" s="29" t="s">
        <v>520</v>
      </c>
      <c r="AZ36" s="29" t="s">
        <v>539</v>
      </c>
      <c r="BA36" s="23" t="s">
        <v>546</v>
      </c>
      <c r="BC36" s="28">
        <f>AW36+AX36</f>
        <v>0</v>
      </c>
      <c r="BD36" s="28">
        <f>H36/(100-BE36)*100</f>
        <v>0</v>
      </c>
      <c r="BE36" s="28">
        <v>0</v>
      </c>
      <c r="BF36" s="28">
        <f>36</f>
        <v>36</v>
      </c>
      <c r="BH36" s="14">
        <f>G36*AO36</f>
        <v>0</v>
      </c>
      <c r="BI36" s="14">
        <f>G36*AP36</f>
        <v>0</v>
      </c>
      <c r="BJ36" s="14">
        <f>G36*H36</f>
        <v>0</v>
      </c>
    </row>
    <row r="37" spans="1:62" x14ac:dyDescent="0.2">
      <c r="A37" s="3"/>
      <c r="B37" s="10" t="s">
        <v>65</v>
      </c>
      <c r="C37" s="120" t="s">
        <v>328</v>
      </c>
      <c r="D37" s="121"/>
      <c r="E37" s="121"/>
      <c r="F37" s="3" t="s">
        <v>6</v>
      </c>
      <c r="G37" s="3" t="s">
        <v>6</v>
      </c>
      <c r="H37" s="3" t="s">
        <v>6</v>
      </c>
      <c r="I37" s="30">
        <f>SUM(I38:I38)</f>
        <v>0</v>
      </c>
      <c r="J37" s="30">
        <f>SUM(J38:J38)</f>
        <v>0</v>
      </c>
      <c r="K37" s="30">
        <f>SUM(K38:K38)</f>
        <v>0</v>
      </c>
      <c r="L37" s="23"/>
      <c r="AI37" s="23" t="s">
        <v>515</v>
      </c>
      <c r="AS37" s="30">
        <f>SUM(AJ38:AJ38)</f>
        <v>0</v>
      </c>
      <c r="AT37" s="30">
        <f>SUM(AK38:AK38)</f>
        <v>0</v>
      </c>
      <c r="AU37" s="30">
        <f>SUM(AL38:AL38)</f>
        <v>0</v>
      </c>
    </row>
    <row r="38" spans="1:62" x14ac:dyDescent="0.2">
      <c r="A38" s="4" t="s">
        <v>26</v>
      </c>
      <c r="B38" s="4" t="s">
        <v>169</v>
      </c>
      <c r="C38" s="113" t="s">
        <v>329</v>
      </c>
      <c r="D38" s="114"/>
      <c r="E38" s="114"/>
      <c r="F38" s="4" t="s">
        <v>486</v>
      </c>
      <c r="G38" s="59">
        <v>45</v>
      </c>
      <c r="H38" s="14">
        <v>0</v>
      </c>
      <c r="I38" s="14">
        <f>G38*AO38</f>
        <v>0</v>
      </c>
      <c r="J38" s="14">
        <f>G38*AP38</f>
        <v>0</v>
      </c>
      <c r="K38" s="14">
        <f>G38*H38</f>
        <v>0</v>
      </c>
      <c r="L38" s="24" t="s">
        <v>505</v>
      </c>
      <c r="Z38" s="28">
        <f>IF(AQ38="5",BJ38,0)</f>
        <v>0</v>
      </c>
      <c r="AB38" s="28">
        <f>IF(AQ38="1",BH38,0)</f>
        <v>0</v>
      </c>
      <c r="AC38" s="28">
        <f>IF(AQ38="1",BI38,0)</f>
        <v>0</v>
      </c>
      <c r="AD38" s="28">
        <f>IF(AQ38="7",BH38,0)</f>
        <v>0</v>
      </c>
      <c r="AE38" s="28">
        <f>IF(AQ38="7",BI38,0)</f>
        <v>0</v>
      </c>
      <c r="AF38" s="28">
        <f>IF(AQ38="2",BH38,0)</f>
        <v>0</v>
      </c>
      <c r="AG38" s="28">
        <f>IF(AQ38="2",BI38,0)</f>
        <v>0</v>
      </c>
      <c r="AH38" s="28">
        <f>IF(AQ38="0",BJ38,0)</f>
        <v>0</v>
      </c>
      <c r="AI38" s="23" t="s">
        <v>515</v>
      </c>
      <c r="AJ38" s="14">
        <f>IF(AN38=0,K38,0)</f>
        <v>0</v>
      </c>
      <c r="AK38" s="14">
        <f>IF(AN38=15,K38,0)</f>
        <v>0</v>
      </c>
      <c r="AL38" s="14">
        <f>IF(AN38=21,K38,0)</f>
        <v>0</v>
      </c>
      <c r="AN38" s="28">
        <v>21</v>
      </c>
      <c r="AO38" s="28">
        <f>H38*0.146010733452594</f>
        <v>0</v>
      </c>
      <c r="AP38" s="28">
        <f>H38*(1-0.146010733452594)</f>
        <v>0</v>
      </c>
      <c r="AQ38" s="24" t="s">
        <v>7</v>
      </c>
      <c r="AV38" s="28">
        <f>AW38+AX38</f>
        <v>0</v>
      </c>
      <c r="AW38" s="28">
        <f>G38*AO38</f>
        <v>0</v>
      </c>
      <c r="AX38" s="28">
        <f>G38*AP38</f>
        <v>0</v>
      </c>
      <c r="AY38" s="29" t="s">
        <v>521</v>
      </c>
      <c r="AZ38" s="29" t="s">
        <v>540</v>
      </c>
      <c r="BA38" s="23" t="s">
        <v>546</v>
      </c>
      <c r="BC38" s="28">
        <f>AW38+AX38</f>
        <v>0</v>
      </c>
      <c r="BD38" s="28">
        <f>H38/(100-BE38)*100</f>
        <v>0</v>
      </c>
      <c r="BE38" s="28">
        <v>0</v>
      </c>
      <c r="BF38" s="28">
        <f>38</f>
        <v>38</v>
      </c>
      <c r="BH38" s="14">
        <f>G38*AO38</f>
        <v>0</v>
      </c>
      <c r="BI38" s="14">
        <f>G38*AP38</f>
        <v>0</v>
      </c>
      <c r="BJ38" s="14">
        <f>G38*H38</f>
        <v>0</v>
      </c>
    </row>
    <row r="39" spans="1:62" x14ac:dyDescent="0.2">
      <c r="A39" s="3"/>
      <c r="B39" s="10" t="s">
        <v>96</v>
      </c>
      <c r="C39" s="120" t="s">
        <v>330</v>
      </c>
      <c r="D39" s="121"/>
      <c r="E39" s="121"/>
      <c r="F39" s="3" t="s">
        <v>6</v>
      </c>
      <c r="G39" s="3" t="s">
        <v>6</v>
      </c>
      <c r="H39" s="3" t="s">
        <v>6</v>
      </c>
      <c r="I39" s="30">
        <f>SUM(I40:I41)</f>
        <v>0</v>
      </c>
      <c r="J39" s="30">
        <f>SUM(J40:J41)</f>
        <v>0</v>
      </c>
      <c r="K39" s="30">
        <f>SUM(K40:K41)</f>
        <v>0</v>
      </c>
      <c r="L39" s="23"/>
      <c r="AI39" s="23" t="s">
        <v>515</v>
      </c>
      <c r="AS39" s="30">
        <f>SUM(AJ40:AJ41)</f>
        <v>0</v>
      </c>
      <c r="AT39" s="30">
        <f>SUM(AK40:AK41)</f>
        <v>0</v>
      </c>
      <c r="AU39" s="30">
        <f>SUM(AL40:AL41)</f>
        <v>0</v>
      </c>
    </row>
    <row r="40" spans="1:62" x14ac:dyDescent="0.2">
      <c r="A40" s="4" t="s">
        <v>27</v>
      </c>
      <c r="B40" s="4" t="s">
        <v>170</v>
      </c>
      <c r="C40" s="113" t="s">
        <v>331</v>
      </c>
      <c r="D40" s="114"/>
      <c r="E40" s="114"/>
      <c r="F40" s="4" t="s">
        <v>483</v>
      </c>
      <c r="G40" s="59">
        <v>20</v>
      </c>
      <c r="H40" s="14">
        <v>0</v>
      </c>
      <c r="I40" s="14">
        <f>G40*AO40</f>
        <v>0</v>
      </c>
      <c r="J40" s="14">
        <f>G40*AP40</f>
        <v>0</v>
      </c>
      <c r="K40" s="14">
        <f>G40*H40</f>
        <v>0</v>
      </c>
      <c r="L40" s="24" t="s">
        <v>505</v>
      </c>
      <c r="Z40" s="28">
        <f>IF(AQ40="5",BJ40,0)</f>
        <v>0</v>
      </c>
      <c r="AB40" s="28">
        <f>IF(AQ40="1",BH40,0)</f>
        <v>0</v>
      </c>
      <c r="AC40" s="28">
        <f>IF(AQ40="1",BI40,0)</f>
        <v>0</v>
      </c>
      <c r="AD40" s="28">
        <f>IF(AQ40="7",BH40,0)</f>
        <v>0</v>
      </c>
      <c r="AE40" s="28">
        <f>IF(AQ40="7",BI40,0)</f>
        <v>0</v>
      </c>
      <c r="AF40" s="28">
        <f>IF(AQ40="2",BH40,0)</f>
        <v>0</v>
      </c>
      <c r="AG40" s="28">
        <f>IF(AQ40="2",BI40,0)</f>
        <v>0</v>
      </c>
      <c r="AH40" s="28">
        <f>IF(AQ40="0",BJ40,0)</f>
        <v>0</v>
      </c>
      <c r="AI40" s="23" t="s">
        <v>515</v>
      </c>
      <c r="AJ40" s="14">
        <f>IF(AN40=0,K40,0)</f>
        <v>0</v>
      </c>
      <c r="AK40" s="14">
        <f>IF(AN40=15,K40,0)</f>
        <v>0</v>
      </c>
      <c r="AL40" s="14">
        <f>IF(AN40=21,K40,0)</f>
        <v>0</v>
      </c>
      <c r="AN40" s="28">
        <v>21</v>
      </c>
      <c r="AO40" s="28">
        <f>H40*0</f>
        <v>0</v>
      </c>
      <c r="AP40" s="28">
        <f>H40*(1-0)</f>
        <v>0</v>
      </c>
      <c r="AQ40" s="24" t="s">
        <v>7</v>
      </c>
      <c r="AV40" s="28">
        <f>AW40+AX40</f>
        <v>0</v>
      </c>
      <c r="AW40" s="28">
        <f>G40*AO40</f>
        <v>0</v>
      </c>
      <c r="AX40" s="28">
        <f>G40*AP40</f>
        <v>0</v>
      </c>
      <c r="AY40" s="29" t="s">
        <v>522</v>
      </c>
      <c r="AZ40" s="29" t="s">
        <v>541</v>
      </c>
      <c r="BA40" s="23" t="s">
        <v>546</v>
      </c>
      <c r="BC40" s="28">
        <f>AW40+AX40</f>
        <v>0</v>
      </c>
      <c r="BD40" s="28">
        <f>H40/(100-BE40)*100</f>
        <v>0</v>
      </c>
      <c r="BE40" s="28">
        <v>0</v>
      </c>
      <c r="BF40" s="28">
        <f>40</f>
        <v>40</v>
      </c>
      <c r="BH40" s="14">
        <f>G40*AO40</f>
        <v>0</v>
      </c>
      <c r="BI40" s="14">
        <f>G40*AP40</f>
        <v>0</v>
      </c>
      <c r="BJ40" s="14">
        <f>G40*H40</f>
        <v>0</v>
      </c>
    </row>
    <row r="41" spans="1:62" x14ac:dyDescent="0.2">
      <c r="A41" s="4" t="s">
        <v>28</v>
      </c>
      <c r="B41" s="4" t="s">
        <v>171</v>
      </c>
      <c r="C41" s="113" t="s">
        <v>332</v>
      </c>
      <c r="D41" s="114"/>
      <c r="E41" s="114"/>
      <c r="F41" s="4" t="s">
        <v>483</v>
      </c>
      <c r="G41" s="59">
        <v>50</v>
      </c>
      <c r="H41" s="14">
        <v>0</v>
      </c>
      <c r="I41" s="14">
        <f>G41*AO41</f>
        <v>0</v>
      </c>
      <c r="J41" s="14">
        <f>G41*AP41</f>
        <v>0</v>
      </c>
      <c r="K41" s="14">
        <f>G41*H41</f>
        <v>0</v>
      </c>
      <c r="L41" s="24" t="s">
        <v>505</v>
      </c>
      <c r="Z41" s="28">
        <f>IF(AQ41="5",BJ41,0)</f>
        <v>0</v>
      </c>
      <c r="AB41" s="28">
        <f>IF(AQ41="1",BH41,0)</f>
        <v>0</v>
      </c>
      <c r="AC41" s="28">
        <f>IF(AQ41="1",BI41,0)</f>
        <v>0</v>
      </c>
      <c r="AD41" s="28">
        <f>IF(AQ41="7",BH41,0)</f>
        <v>0</v>
      </c>
      <c r="AE41" s="28">
        <f>IF(AQ41="7",BI41,0)</f>
        <v>0</v>
      </c>
      <c r="AF41" s="28">
        <f>IF(AQ41="2",BH41,0)</f>
        <v>0</v>
      </c>
      <c r="AG41" s="28">
        <f>IF(AQ41="2",BI41,0)</f>
        <v>0</v>
      </c>
      <c r="AH41" s="28">
        <f>IF(AQ41="0",BJ41,0)</f>
        <v>0</v>
      </c>
      <c r="AI41" s="23" t="s">
        <v>515</v>
      </c>
      <c r="AJ41" s="14">
        <f>IF(AN41=0,K41,0)</f>
        <v>0</v>
      </c>
      <c r="AK41" s="14">
        <f>IF(AN41=15,K41,0)</f>
        <v>0</v>
      </c>
      <c r="AL41" s="14">
        <f>IF(AN41=21,K41,0)</f>
        <v>0</v>
      </c>
      <c r="AN41" s="28">
        <v>21</v>
      </c>
      <c r="AO41" s="28">
        <f>H41*0</f>
        <v>0</v>
      </c>
      <c r="AP41" s="28">
        <f>H41*(1-0)</f>
        <v>0</v>
      </c>
      <c r="AQ41" s="24" t="s">
        <v>7</v>
      </c>
      <c r="AV41" s="28">
        <f>AW41+AX41</f>
        <v>0</v>
      </c>
      <c r="AW41" s="28">
        <f>G41*AO41</f>
        <v>0</v>
      </c>
      <c r="AX41" s="28">
        <f>G41*AP41</f>
        <v>0</v>
      </c>
      <c r="AY41" s="29" t="s">
        <v>522</v>
      </c>
      <c r="AZ41" s="29" t="s">
        <v>541</v>
      </c>
      <c r="BA41" s="23" t="s">
        <v>546</v>
      </c>
      <c r="BC41" s="28">
        <f>AW41+AX41</f>
        <v>0</v>
      </c>
      <c r="BD41" s="28">
        <f>H41/(100-BE41)*100</f>
        <v>0</v>
      </c>
      <c r="BE41" s="28">
        <v>0</v>
      </c>
      <c r="BF41" s="28">
        <f>41</f>
        <v>41</v>
      </c>
      <c r="BH41" s="14">
        <f>G41*AO41</f>
        <v>0</v>
      </c>
      <c r="BI41" s="14">
        <f>G41*AP41</f>
        <v>0</v>
      </c>
      <c r="BJ41" s="14">
        <f>G41*H41</f>
        <v>0</v>
      </c>
    </row>
    <row r="42" spans="1:62" x14ac:dyDescent="0.2">
      <c r="A42" s="3"/>
      <c r="B42" s="10" t="s">
        <v>100</v>
      </c>
      <c r="C42" s="120" t="s">
        <v>333</v>
      </c>
      <c r="D42" s="121"/>
      <c r="E42" s="121"/>
      <c r="F42" s="3" t="s">
        <v>6</v>
      </c>
      <c r="G42" s="3" t="s">
        <v>6</v>
      </c>
      <c r="H42" s="3" t="s">
        <v>6</v>
      </c>
      <c r="I42" s="30">
        <f>SUM(I43:I43)</f>
        <v>0</v>
      </c>
      <c r="J42" s="30">
        <f>SUM(J43:J43)</f>
        <v>0</v>
      </c>
      <c r="K42" s="30">
        <f>SUM(K43:K43)</f>
        <v>0</v>
      </c>
      <c r="L42" s="23"/>
      <c r="AI42" s="23" t="s">
        <v>515</v>
      </c>
      <c r="AS42" s="30">
        <f>SUM(AJ43:AJ43)</f>
        <v>0</v>
      </c>
      <c r="AT42" s="30">
        <f>SUM(AK43:AK43)</f>
        <v>0</v>
      </c>
      <c r="AU42" s="30">
        <f>SUM(AL43:AL43)</f>
        <v>0</v>
      </c>
    </row>
    <row r="43" spans="1:62" x14ac:dyDescent="0.2">
      <c r="A43" s="4" t="s">
        <v>29</v>
      </c>
      <c r="B43" s="4" t="s">
        <v>172</v>
      </c>
      <c r="C43" s="113" t="s">
        <v>334</v>
      </c>
      <c r="D43" s="114"/>
      <c r="E43" s="114"/>
      <c r="F43" s="4" t="s">
        <v>486</v>
      </c>
      <c r="G43" s="59">
        <v>1108.7280000000001</v>
      </c>
      <c r="H43" s="14">
        <v>0</v>
      </c>
      <c r="I43" s="14">
        <f>G43*AO43</f>
        <v>0</v>
      </c>
      <c r="J43" s="14">
        <f>G43*AP43</f>
        <v>0</v>
      </c>
      <c r="K43" s="14">
        <f>G43*H43</f>
        <v>0</v>
      </c>
      <c r="L43" s="24" t="s">
        <v>505</v>
      </c>
      <c r="Z43" s="28">
        <f>IF(AQ43="5",BJ43,0)</f>
        <v>0</v>
      </c>
      <c r="AB43" s="28">
        <f>IF(AQ43="1",BH43,0)</f>
        <v>0</v>
      </c>
      <c r="AC43" s="28">
        <f>IF(AQ43="1",BI43,0)</f>
        <v>0</v>
      </c>
      <c r="AD43" s="28">
        <f>IF(AQ43="7",BH43,0)</f>
        <v>0</v>
      </c>
      <c r="AE43" s="28">
        <f>IF(AQ43="7",BI43,0)</f>
        <v>0</v>
      </c>
      <c r="AF43" s="28">
        <f>IF(AQ43="2",BH43,0)</f>
        <v>0</v>
      </c>
      <c r="AG43" s="28">
        <f>IF(AQ43="2",BI43,0)</f>
        <v>0</v>
      </c>
      <c r="AH43" s="28">
        <f>IF(AQ43="0",BJ43,0)</f>
        <v>0</v>
      </c>
      <c r="AI43" s="23" t="s">
        <v>515</v>
      </c>
      <c r="AJ43" s="14">
        <f>IF(AN43=0,K43,0)</f>
        <v>0</v>
      </c>
      <c r="AK43" s="14">
        <f>IF(AN43=15,K43,0)</f>
        <v>0</v>
      </c>
      <c r="AL43" s="14">
        <f>IF(AN43=21,K43,0)</f>
        <v>0</v>
      </c>
      <c r="AN43" s="28">
        <v>21</v>
      </c>
      <c r="AO43" s="28">
        <f>H43*0</f>
        <v>0</v>
      </c>
      <c r="AP43" s="28">
        <f>H43*(1-0)</f>
        <v>0</v>
      </c>
      <c r="AQ43" s="24" t="s">
        <v>7</v>
      </c>
      <c r="AV43" s="28">
        <f>AW43+AX43</f>
        <v>0</v>
      </c>
      <c r="AW43" s="28">
        <f>G43*AO43</f>
        <v>0</v>
      </c>
      <c r="AX43" s="28">
        <f>G43*AP43</f>
        <v>0</v>
      </c>
      <c r="AY43" s="29" t="s">
        <v>523</v>
      </c>
      <c r="AZ43" s="29" t="s">
        <v>541</v>
      </c>
      <c r="BA43" s="23" t="s">
        <v>546</v>
      </c>
      <c r="BC43" s="28">
        <f>AW43+AX43</f>
        <v>0</v>
      </c>
      <c r="BD43" s="28">
        <f>H43/(100-BE43)*100</f>
        <v>0</v>
      </c>
      <c r="BE43" s="28">
        <v>0</v>
      </c>
      <c r="BF43" s="28">
        <f>43</f>
        <v>43</v>
      </c>
      <c r="BH43" s="14">
        <f>G43*AO43</f>
        <v>0</v>
      </c>
      <c r="BI43" s="14">
        <f>G43*AP43</f>
        <v>0</v>
      </c>
      <c r="BJ43" s="14">
        <f>G43*H43</f>
        <v>0</v>
      </c>
    </row>
    <row r="44" spans="1:62" x14ac:dyDescent="0.2">
      <c r="A44" s="3"/>
      <c r="B44" s="10" t="s">
        <v>102</v>
      </c>
      <c r="C44" s="120" t="s">
        <v>335</v>
      </c>
      <c r="D44" s="121"/>
      <c r="E44" s="121"/>
      <c r="F44" s="3" t="s">
        <v>6</v>
      </c>
      <c r="G44" s="3" t="s">
        <v>6</v>
      </c>
      <c r="H44" s="3" t="s">
        <v>6</v>
      </c>
      <c r="I44" s="30">
        <f>SUM(I45:I104)</f>
        <v>0</v>
      </c>
      <c r="J44" s="30">
        <f>SUM(J45:J104)</f>
        <v>0</v>
      </c>
      <c r="K44" s="30">
        <f>SUM(K45:K104)</f>
        <v>0</v>
      </c>
      <c r="L44" s="23"/>
      <c r="AI44" s="23" t="s">
        <v>515</v>
      </c>
      <c r="AS44" s="30">
        <f>SUM(AJ45:AJ104)</f>
        <v>0</v>
      </c>
      <c r="AT44" s="30">
        <f>SUM(AK45:AK104)</f>
        <v>0</v>
      </c>
      <c r="AU44" s="30">
        <f>SUM(AL45:AL104)</f>
        <v>0</v>
      </c>
    </row>
    <row r="45" spans="1:62" x14ac:dyDescent="0.2">
      <c r="A45" s="4" t="s">
        <v>30</v>
      </c>
      <c r="B45" s="4" t="s">
        <v>173</v>
      </c>
      <c r="C45" s="113" t="s">
        <v>336</v>
      </c>
      <c r="D45" s="114"/>
      <c r="E45" s="114"/>
      <c r="F45" s="4" t="s">
        <v>487</v>
      </c>
      <c r="G45" s="59">
        <v>72.754000000000005</v>
      </c>
      <c r="H45" s="14">
        <v>0</v>
      </c>
      <c r="I45" s="14">
        <f t="shared" ref="I45:I74" si="24">G45*AO45</f>
        <v>0</v>
      </c>
      <c r="J45" s="14">
        <f t="shared" ref="J45:J74" si="25">G45*AP45</f>
        <v>0</v>
      </c>
      <c r="K45" s="14">
        <f t="shared" ref="K45:K74" si="26">G45*H45</f>
        <v>0</v>
      </c>
      <c r="L45" s="24" t="s">
        <v>505</v>
      </c>
      <c r="Z45" s="28">
        <f t="shared" ref="Z45:Z74" si="27">IF(AQ45="5",BJ45,0)</f>
        <v>0</v>
      </c>
      <c r="AB45" s="28">
        <f t="shared" ref="AB45:AB74" si="28">IF(AQ45="1",BH45,0)</f>
        <v>0</v>
      </c>
      <c r="AC45" s="28">
        <f t="shared" ref="AC45:AC74" si="29">IF(AQ45="1",BI45,0)</f>
        <v>0</v>
      </c>
      <c r="AD45" s="28">
        <f t="shared" ref="AD45:AD74" si="30">IF(AQ45="7",BH45,0)</f>
        <v>0</v>
      </c>
      <c r="AE45" s="28">
        <f t="shared" ref="AE45:AE74" si="31">IF(AQ45="7",BI45,0)</f>
        <v>0</v>
      </c>
      <c r="AF45" s="28">
        <f t="shared" ref="AF45:AF74" si="32">IF(AQ45="2",BH45,0)</f>
        <v>0</v>
      </c>
      <c r="AG45" s="28">
        <f t="shared" ref="AG45:AG74" si="33">IF(AQ45="2",BI45,0)</f>
        <v>0</v>
      </c>
      <c r="AH45" s="28">
        <f t="shared" ref="AH45:AH74" si="34">IF(AQ45="0",BJ45,0)</f>
        <v>0</v>
      </c>
      <c r="AI45" s="23" t="s">
        <v>515</v>
      </c>
      <c r="AJ45" s="14">
        <f t="shared" ref="AJ45:AJ74" si="35">IF(AN45=0,K45,0)</f>
        <v>0</v>
      </c>
      <c r="AK45" s="14">
        <f t="shared" ref="AK45:AK74" si="36">IF(AN45=15,K45,0)</f>
        <v>0</v>
      </c>
      <c r="AL45" s="14">
        <f t="shared" ref="AL45:AL74" si="37">IF(AN45=21,K45,0)</f>
        <v>0</v>
      </c>
      <c r="AN45" s="28">
        <v>21</v>
      </c>
      <c r="AO45" s="28">
        <f>H45*0</f>
        <v>0</v>
      </c>
      <c r="AP45" s="28">
        <f>H45*(1-0)</f>
        <v>0</v>
      </c>
      <c r="AQ45" s="24" t="s">
        <v>7</v>
      </c>
      <c r="AV45" s="28">
        <f t="shared" ref="AV45:AV74" si="38">AW45+AX45</f>
        <v>0</v>
      </c>
      <c r="AW45" s="28">
        <f t="shared" ref="AW45:AW74" si="39">G45*AO45</f>
        <v>0</v>
      </c>
      <c r="AX45" s="28">
        <f t="shared" ref="AX45:AX74" si="40">G45*AP45</f>
        <v>0</v>
      </c>
      <c r="AY45" s="29" t="s">
        <v>524</v>
      </c>
      <c r="AZ45" s="29" t="s">
        <v>541</v>
      </c>
      <c r="BA45" s="23" t="s">
        <v>546</v>
      </c>
      <c r="BC45" s="28">
        <f t="shared" ref="BC45:BC74" si="41">AW45+AX45</f>
        <v>0</v>
      </c>
      <c r="BD45" s="28">
        <f t="shared" ref="BD45:BD74" si="42">H45/(100-BE45)*100</f>
        <v>0</v>
      </c>
      <c r="BE45" s="28">
        <v>0</v>
      </c>
      <c r="BF45" s="28">
        <f>45</f>
        <v>45</v>
      </c>
      <c r="BH45" s="14">
        <f t="shared" ref="BH45:BH74" si="43">G45*AO45</f>
        <v>0</v>
      </c>
      <c r="BI45" s="14">
        <f t="shared" ref="BI45:BI74" si="44">G45*AP45</f>
        <v>0</v>
      </c>
      <c r="BJ45" s="14">
        <f t="shared" ref="BJ45:BJ74" si="45">G45*H45</f>
        <v>0</v>
      </c>
    </row>
    <row r="46" spans="1:62" x14ac:dyDescent="0.2">
      <c r="A46" s="4" t="s">
        <v>31</v>
      </c>
      <c r="B46" s="4" t="s">
        <v>174</v>
      </c>
      <c r="C46" s="113" t="s">
        <v>337</v>
      </c>
      <c r="D46" s="114"/>
      <c r="E46" s="114"/>
      <c r="F46" s="4" t="s">
        <v>486</v>
      </c>
      <c r="G46" s="59">
        <v>10.423999999999999</v>
      </c>
      <c r="H46" s="14">
        <v>0</v>
      </c>
      <c r="I46" s="14">
        <f t="shared" si="24"/>
        <v>0</v>
      </c>
      <c r="J46" s="14">
        <f t="shared" si="25"/>
        <v>0</v>
      </c>
      <c r="K46" s="14">
        <f t="shared" si="26"/>
        <v>0</v>
      </c>
      <c r="L46" s="24" t="s">
        <v>505</v>
      </c>
      <c r="Z46" s="28">
        <f t="shared" si="27"/>
        <v>0</v>
      </c>
      <c r="AB46" s="28">
        <f t="shared" si="28"/>
        <v>0</v>
      </c>
      <c r="AC46" s="28">
        <f t="shared" si="29"/>
        <v>0</v>
      </c>
      <c r="AD46" s="28">
        <f t="shared" si="30"/>
        <v>0</v>
      </c>
      <c r="AE46" s="28">
        <f t="shared" si="31"/>
        <v>0</v>
      </c>
      <c r="AF46" s="28">
        <f t="shared" si="32"/>
        <v>0</v>
      </c>
      <c r="AG46" s="28">
        <f t="shared" si="33"/>
        <v>0</v>
      </c>
      <c r="AH46" s="28">
        <f t="shared" si="34"/>
        <v>0</v>
      </c>
      <c r="AI46" s="23" t="s">
        <v>515</v>
      </c>
      <c r="AJ46" s="14">
        <f t="shared" si="35"/>
        <v>0</v>
      </c>
      <c r="AK46" s="14">
        <f t="shared" si="36"/>
        <v>0</v>
      </c>
      <c r="AL46" s="14">
        <f t="shared" si="37"/>
        <v>0</v>
      </c>
      <c r="AN46" s="28">
        <v>21</v>
      </c>
      <c r="AO46" s="28">
        <f>H46*0.126456707897241</f>
        <v>0</v>
      </c>
      <c r="AP46" s="28">
        <f>H46*(1-0.126456707897241)</f>
        <v>0</v>
      </c>
      <c r="AQ46" s="24" t="s">
        <v>7</v>
      </c>
      <c r="AV46" s="28">
        <f t="shared" si="38"/>
        <v>0</v>
      </c>
      <c r="AW46" s="28">
        <f t="shared" si="39"/>
        <v>0</v>
      </c>
      <c r="AX46" s="28">
        <f t="shared" si="40"/>
        <v>0</v>
      </c>
      <c r="AY46" s="29" t="s">
        <v>524</v>
      </c>
      <c r="AZ46" s="29" t="s">
        <v>541</v>
      </c>
      <c r="BA46" s="23" t="s">
        <v>546</v>
      </c>
      <c r="BC46" s="28">
        <f t="shared" si="41"/>
        <v>0</v>
      </c>
      <c r="BD46" s="28">
        <f t="shared" si="42"/>
        <v>0</v>
      </c>
      <c r="BE46" s="28">
        <v>0</v>
      </c>
      <c r="BF46" s="28">
        <f>46</f>
        <v>46</v>
      </c>
      <c r="BH46" s="14">
        <f t="shared" si="43"/>
        <v>0</v>
      </c>
      <c r="BI46" s="14">
        <f t="shared" si="44"/>
        <v>0</v>
      </c>
      <c r="BJ46" s="14">
        <f t="shared" si="45"/>
        <v>0</v>
      </c>
    </row>
    <row r="47" spans="1:62" x14ac:dyDescent="0.2">
      <c r="A47" s="4" t="s">
        <v>32</v>
      </c>
      <c r="B47" s="4" t="s">
        <v>175</v>
      </c>
      <c r="C47" s="113" t="s">
        <v>338</v>
      </c>
      <c r="D47" s="114"/>
      <c r="E47" s="114"/>
      <c r="F47" s="4" t="s">
        <v>486</v>
      </c>
      <c r="G47" s="59">
        <v>76.650999999999996</v>
      </c>
      <c r="H47" s="14">
        <v>0</v>
      </c>
      <c r="I47" s="14">
        <f t="shared" si="24"/>
        <v>0</v>
      </c>
      <c r="J47" s="14">
        <f t="shared" si="25"/>
        <v>0</v>
      </c>
      <c r="K47" s="14">
        <f t="shared" si="26"/>
        <v>0</v>
      </c>
      <c r="L47" s="24" t="s">
        <v>505</v>
      </c>
      <c r="Z47" s="28">
        <f t="shared" si="27"/>
        <v>0</v>
      </c>
      <c r="AB47" s="28">
        <f t="shared" si="28"/>
        <v>0</v>
      </c>
      <c r="AC47" s="28">
        <f t="shared" si="29"/>
        <v>0</v>
      </c>
      <c r="AD47" s="28">
        <f t="shared" si="30"/>
        <v>0</v>
      </c>
      <c r="AE47" s="28">
        <f t="shared" si="31"/>
        <v>0</v>
      </c>
      <c r="AF47" s="28">
        <f t="shared" si="32"/>
        <v>0</v>
      </c>
      <c r="AG47" s="28">
        <f t="shared" si="33"/>
        <v>0</v>
      </c>
      <c r="AH47" s="28">
        <f t="shared" si="34"/>
        <v>0</v>
      </c>
      <c r="AI47" s="23" t="s">
        <v>515</v>
      </c>
      <c r="AJ47" s="14">
        <f t="shared" si="35"/>
        <v>0</v>
      </c>
      <c r="AK47" s="14">
        <f t="shared" si="36"/>
        <v>0</v>
      </c>
      <c r="AL47" s="14">
        <f t="shared" si="37"/>
        <v>0</v>
      </c>
      <c r="AN47" s="28">
        <v>21</v>
      </c>
      <c r="AO47" s="28">
        <f>H47*0.0941538272562399</f>
        <v>0</v>
      </c>
      <c r="AP47" s="28">
        <f>H47*(1-0.0941538272562399)</f>
        <v>0</v>
      </c>
      <c r="AQ47" s="24" t="s">
        <v>7</v>
      </c>
      <c r="AV47" s="28">
        <f t="shared" si="38"/>
        <v>0</v>
      </c>
      <c r="AW47" s="28">
        <f t="shared" si="39"/>
        <v>0</v>
      </c>
      <c r="AX47" s="28">
        <f t="shared" si="40"/>
        <v>0</v>
      </c>
      <c r="AY47" s="29" t="s">
        <v>524</v>
      </c>
      <c r="AZ47" s="29" t="s">
        <v>541</v>
      </c>
      <c r="BA47" s="23" t="s">
        <v>546</v>
      </c>
      <c r="BC47" s="28">
        <f t="shared" si="41"/>
        <v>0</v>
      </c>
      <c r="BD47" s="28">
        <f t="shared" si="42"/>
        <v>0</v>
      </c>
      <c r="BE47" s="28">
        <v>0</v>
      </c>
      <c r="BF47" s="28">
        <f>47</f>
        <v>47</v>
      </c>
      <c r="BH47" s="14">
        <f t="shared" si="43"/>
        <v>0</v>
      </c>
      <c r="BI47" s="14">
        <f t="shared" si="44"/>
        <v>0</v>
      </c>
      <c r="BJ47" s="14">
        <f t="shared" si="45"/>
        <v>0</v>
      </c>
    </row>
    <row r="48" spans="1:62" x14ac:dyDescent="0.2">
      <c r="A48" s="4" t="s">
        <v>33</v>
      </c>
      <c r="B48" s="4" t="s">
        <v>176</v>
      </c>
      <c r="C48" s="113" t="s">
        <v>339</v>
      </c>
      <c r="D48" s="114"/>
      <c r="E48" s="114"/>
      <c r="F48" s="4" t="s">
        <v>486</v>
      </c>
      <c r="G48" s="59">
        <v>85.92</v>
      </c>
      <c r="H48" s="14">
        <v>0</v>
      </c>
      <c r="I48" s="14">
        <f t="shared" si="24"/>
        <v>0</v>
      </c>
      <c r="J48" s="14">
        <f t="shared" si="25"/>
        <v>0</v>
      </c>
      <c r="K48" s="14">
        <f t="shared" si="26"/>
        <v>0</v>
      </c>
      <c r="L48" s="24" t="s">
        <v>505</v>
      </c>
      <c r="Z48" s="28">
        <f t="shared" si="27"/>
        <v>0</v>
      </c>
      <c r="AB48" s="28">
        <f t="shared" si="28"/>
        <v>0</v>
      </c>
      <c r="AC48" s="28">
        <f t="shared" si="29"/>
        <v>0</v>
      </c>
      <c r="AD48" s="28">
        <f t="shared" si="30"/>
        <v>0</v>
      </c>
      <c r="AE48" s="28">
        <f t="shared" si="31"/>
        <v>0</v>
      </c>
      <c r="AF48" s="28">
        <f t="shared" si="32"/>
        <v>0</v>
      </c>
      <c r="AG48" s="28">
        <f t="shared" si="33"/>
        <v>0</v>
      </c>
      <c r="AH48" s="28">
        <f t="shared" si="34"/>
        <v>0</v>
      </c>
      <c r="AI48" s="23" t="s">
        <v>515</v>
      </c>
      <c r="AJ48" s="14">
        <f t="shared" si="35"/>
        <v>0</v>
      </c>
      <c r="AK48" s="14">
        <f t="shared" si="36"/>
        <v>0</v>
      </c>
      <c r="AL48" s="14">
        <f t="shared" si="37"/>
        <v>0</v>
      </c>
      <c r="AN48" s="28">
        <v>21</v>
      </c>
      <c r="AO48" s="28">
        <f>H48*0.124390243902439</f>
        <v>0</v>
      </c>
      <c r="AP48" s="28">
        <f>H48*(1-0.124390243902439)</f>
        <v>0</v>
      </c>
      <c r="AQ48" s="24" t="s">
        <v>7</v>
      </c>
      <c r="AV48" s="28">
        <f t="shared" si="38"/>
        <v>0</v>
      </c>
      <c r="AW48" s="28">
        <f t="shared" si="39"/>
        <v>0</v>
      </c>
      <c r="AX48" s="28">
        <f t="shared" si="40"/>
        <v>0</v>
      </c>
      <c r="AY48" s="29" t="s">
        <v>524</v>
      </c>
      <c r="AZ48" s="29" t="s">
        <v>541</v>
      </c>
      <c r="BA48" s="23" t="s">
        <v>546</v>
      </c>
      <c r="BC48" s="28">
        <f t="shared" si="41"/>
        <v>0</v>
      </c>
      <c r="BD48" s="28">
        <f t="shared" si="42"/>
        <v>0</v>
      </c>
      <c r="BE48" s="28">
        <v>0</v>
      </c>
      <c r="BF48" s="28">
        <f>48</f>
        <v>48</v>
      </c>
      <c r="BH48" s="14">
        <f t="shared" si="43"/>
        <v>0</v>
      </c>
      <c r="BI48" s="14">
        <f t="shared" si="44"/>
        <v>0</v>
      </c>
      <c r="BJ48" s="14">
        <f t="shared" si="45"/>
        <v>0</v>
      </c>
    </row>
    <row r="49" spans="1:62" x14ac:dyDescent="0.2">
      <c r="A49" s="4" t="s">
        <v>34</v>
      </c>
      <c r="B49" s="4" t="s">
        <v>177</v>
      </c>
      <c r="C49" s="113" t="s">
        <v>340</v>
      </c>
      <c r="D49" s="114"/>
      <c r="E49" s="114"/>
      <c r="F49" s="4" t="s">
        <v>487</v>
      </c>
      <c r="G49" s="59">
        <v>67.819999999999993</v>
      </c>
      <c r="H49" s="14">
        <v>0</v>
      </c>
      <c r="I49" s="14">
        <f t="shared" si="24"/>
        <v>0</v>
      </c>
      <c r="J49" s="14">
        <f t="shared" si="25"/>
        <v>0</v>
      </c>
      <c r="K49" s="14">
        <f t="shared" si="26"/>
        <v>0</v>
      </c>
      <c r="L49" s="24" t="s">
        <v>505</v>
      </c>
      <c r="Z49" s="28">
        <f t="shared" si="27"/>
        <v>0</v>
      </c>
      <c r="AB49" s="28">
        <f t="shared" si="28"/>
        <v>0</v>
      </c>
      <c r="AC49" s="28">
        <f t="shared" si="29"/>
        <v>0</v>
      </c>
      <c r="AD49" s="28">
        <f t="shared" si="30"/>
        <v>0</v>
      </c>
      <c r="AE49" s="28">
        <f t="shared" si="31"/>
        <v>0</v>
      </c>
      <c r="AF49" s="28">
        <f t="shared" si="32"/>
        <v>0</v>
      </c>
      <c r="AG49" s="28">
        <f t="shared" si="33"/>
        <v>0</v>
      </c>
      <c r="AH49" s="28">
        <f t="shared" si="34"/>
        <v>0</v>
      </c>
      <c r="AI49" s="23" t="s">
        <v>515</v>
      </c>
      <c r="AJ49" s="14">
        <f t="shared" si="35"/>
        <v>0</v>
      </c>
      <c r="AK49" s="14">
        <f t="shared" si="36"/>
        <v>0</v>
      </c>
      <c r="AL49" s="14">
        <f t="shared" si="37"/>
        <v>0</v>
      </c>
      <c r="AN49" s="28">
        <v>21</v>
      </c>
      <c r="AO49" s="28">
        <f>H49*0.0363940520446097</f>
        <v>0</v>
      </c>
      <c r="AP49" s="28">
        <f>H49*(1-0.0363940520446097)</f>
        <v>0</v>
      </c>
      <c r="AQ49" s="24" t="s">
        <v>7</v>
      </c>
      <c r="AV49" s="28">
        <f t="shared" si="38"/>
        <v>0</v>
      </c>
      <c r="AW49" s="28">
        <f t="shared" si="39"/>
        <v>0</v>
      </c>
      <c r="AX49" s="28">
        <f t="shared" si="40"/>
        <v>0</v>
      </c>
      <c r="AY49" s="29" t="s">
        <v>524</v>
      </c>
      <c r="AZ49" s="29" t="s">
        <v>541</v>
      </c>
      <c r="BA49" s="23" t="s">
        <v>546</v>
      </c>
      <c r="BC49" s="28">
        <f t="shared" si="41"/>
        <v>0</v>
      </c>
      <c r="BD49" s="28">
        <f t="shared" si="42"/>
        <v>0</v>
      </c>
      <c r="BE49" s="28">
        <v>0</v>
      </c>
      <c r="BF49" s="28">
        <f>49</f>
        <v>49</v>
      </c>
      <c r="BH49" s="14">
        <f t="shared" si="43"/>
        <v>0</v>
      </c>
      <c r="BI49" s="14">
        <f t="shared" si="44"/>
        <v>0</v>
      </c>
      <c r="BJ49" s="14">
        <f t="shared" si="45"/>
        <v>0</v>
      </c>
    </row>
    <row r="50" spans="1:62" x14ac:dyDescent="0.2">
      <c r="A50" s="4" t="s">
        <v>35</v>
      </c>
      <c r="B50" s="4" t="s">
        <v>178</v>
      </c>
      <c r="C50" s="113" t="s">
        <v>341</v>
      </c>
      <c r="D50" s="114"/>
      <c r="E50" s="114"/>
      <c r="F50" s="4" t="s">
        <v>487</v>
      </c>
      <c r="G50" s="59">
        <v>0.46500000000000002</v>
      </c>
      <c r="H50" s="14">
        <v>0</v>
      </c>
      <c r="I50" s="14">
        <f t="shared" si="24"/>
        <v>0</v>
      </c>
      <c r="J50" s="14">
        <f t="shared" si="25"/>
        <v>0</v>
      </c>
      <c r="K50" s="14">
        <f t="shared" si="26"/>
        <v>0</v>
      </c>
      <c r="L50" s="24" t="s">
        <v>505</v>
      </c>
      <c r="Z50" s="28">
        <f t="shared" si="27"/>
        <v>0</v>
      </c>
      <c r="AB50" s="28">
        <f t="shared" si="28"/>
        <v>0</v>
      </c>
      <c r="AC50" s="28">
        <f t="shared" si="29"/>
        <v>0</v>
      </c>
      <c r="AD50" s="28">
        <f t="shared" si="30"/>
        <v>0</v>
      </c>
      <c r="AE50" s="28">
        <f t="shared" si="31"/>
        <v>0</v>
      </c>
      <c r="AF50" s="28">
        <f t="shared" si="32"/>
        <v>0</v>
      </c>
      <c r="AG50" s="28">
        <f t="shared" si="33"/>
        <v>0</v>
      </c>
      <c r="AH50" s="28">
        <f t="shared" si="34"/>
        <v>0</v>
      </c>
      <c r="AI50" s="23" t="s">
        <v>515</v>
      </c>
      <c r="AJ50" s="14">
        <f t="shared" si="35"/>
        <v>0</v>
      </c>
      <c r="AK50" s="14">
        <f t="shared" si="36"/>
        <v>0</v>
      </c>
      <c r="AL50" s="14">
        <f t="shared" si="37"/>
        <v>0</v>
      </c>
      <c r="AN50" s="28">
        <v>21</v>
      </c>
      <c r="AO50" s="28">
        <f>H50*0.173217780661908</f>
        <v>0</v>
      </c>
      <c r="AP50" s="28">
        <f>H50*(1-0.173217780661908)</f>
        <v>0</v>
      </c>
      <c r="AQ50" s="24" t="s">
        <v>7</v>
      </c>
      <c r="AV50" s="28">
        <f t="shared" si="38"/>
        <v>0</v>
      </c>
      <c r="AW50" s="28">
        <f t="shared" si="39"/>
        <v>0</v>
      </c>
      <c r="AX50" s="28">
        <f t="shared" si="40"/>
        <v>0</v>
      </c>
      <c r="AY50" s="29" t="s">
        <v>524</v>
      </c>
      <c r="AZ50" s="29" t="s">
        <v>541</v>
      </c>
      <c r="BA50" s="23" t="s">
        <v>546</v>
      </c>
      <c r="BC50" s="28">
        <f t="shared" si="41"/>
        <v>0</v>
      </c>
      <c r="BD50" s="28">
        <f t="shared" si="42"/>
        <v>0</v>
      </c>
      <c r="BE50" s="28">
        <v>0</v>
      </c>
      <c r="BF50" s="28">
        <f>50</f>
        <v>50</v>
      </c>
      <c r="BH50" s="14">
        <f t="shared" si="43"/>
        <v>0</v>
      </c>
      <c r="BI50" s="14">
        <f t="shared" si="44"/>
        <v>0</v>
      </c>
      <c r="BJ50" s="14">
        <f t="shared" si="45"/>
        <v>0</v>
      </c>
    </row>
    <row r="51" spans="1:62" x14ac:dyDescent="0.2">
      <c r="A51" s="4" t="s">
        <v>36</v>
      </c>
      <c r="B51" s="4" t="s">
        <v>179</v>
      </c>
      <c r="C51" s="113" t="s">
        <v>342</v>
      </c>
      <c r="D51" s="114"/>
      <c r="E51" s="114"/>
      <c r="F51" s="4" t="s">
        <v>487</v>
      </c>
      <c r="G51" s="59">
        <v>37.984000000000002</v>
      </c>
      <c r="H51" s="14">
        <v>0</v>
      </c>
      <c r="I51" s="14">
        <f t="shared" si="24"/>
        <v>0</v>
      </c>
      <c r="J51" s="14">
        <f t="shared" si="25"/>
        <v>0</v>
      </c>
      <c r="K51" s="14">
        <f t="shared" si="26"/>
        <v>0</v>
      </c>
      <c r="L51" s="24" t="s">
        <v>505</v>
      </c>
      <c r="Z51" s="28">
        <f t="shared" si="27"/>
        <v>0</v>
      </c>
      <c r="AB51" s="28">
        <f t="shared" si="28"/>
        <v>0</v>
      </c>
      <c r="AC51" s="28">
        <f t="shared" si="29"/>
        <v>0</v>
      </c>
      <c r="AD51" s="28">
        <f t="shared" si="30"/>
        <v>0</v>
      </c>
      <c r="AE51" s="28">
        <f t="shared" si="31"/>
        <v>0</v>
      </c>
      <c r="AF51" s="28">
        <f t="shared" si="32"/>
        <v>0</v>
      </c>
      <c r="AG51" s="28">
        <f t="shared" si="33"/>
        <v>0</v>
      </c>
      <c r="AH51" s="28">
        <f t="shared" si="34"/>
        <v>0</v>
      </c>
      <c r="AI51" s="23" t="s">
        <v>515</v>
      </c>
      <c r="AJ51" s="14">
        <f t="shared" si="35"/>
        <v>0</v>
      </c>
      <c r="AK51" s="14">
        <f t="shared" si="36"/>
        <v>0</v>
      </c>
      <c r="AL51" s="14">
        <f t="shared" si="37"/>
        <v>0</v>
      </c>
      <c r="AN51" s="28">
        <v>21</v>
      </c>
      <c r="AO51" s="28">
        <f>H51*0.0484894886293563</f>
        <v>0</v>
      </c>
      <c r="AP51" s="28">
        <f>H51*(1-0.0484894886293563)</f>
        <v>0</v>
      </c>
      <c r="AQ51" s="24" t="s">
        <v>7</v>
      </c>
      <c r="AV51" s="28">
        <f t="shared" si="38"/>
        <v>0</v>
      </c>
      <c r="AW51" s="28">
        <f t="shared" si="39"/>
        <v>0</v>
      </c>
      <c r="AX51" s="28">
        <f t="shared" si="40"/>
        <v>0</v>
      </c>
      <c r="AY51" s="29" t="s">
        <v>524</v>
      </c>
      <c r="AZ51" s="29" t="s">
        <v>541</v>
      </c>
      <c r="BA51" s="23" t="s">
        <v>546</v>
      </c>
      <c r="BC51" s="28">
        <f t="shared" si="41"/>
        <v>0</v>
      </c>
      <c r="BD51" s="28">
        <f t="shared" si="42"/>
        <v>0</v>
      </c>
      <c r="BE51" s="28">
        <v>0</v>
      </c>
      <c r="BF51" s="28">
        <f>51</f>
        <v>51</v>
      </c>
      <c r="BH51" s="14">
        <f t="shared" si="43"/>
        <v>0</v>
      </c>
      <c r="BI51" s="14">
        <f t="shared" si="44"/>
        <v>0</v>
      </c>
      <c r="BJ51" s="14">
        <f t="shared" si="45"/>
        <v>0</v>
      </c>
    </row>
    <row r="52" spans="1:62" x14ac:dyDescent="0.2">
      <c r="A52" s="4" t="s">
        <v>37</v>
      </c>
      <c r="B52" s="4" t="s">
        <v>180</v>
      </c>
      <c r="C52" s="113" t="s">
        <v>343</v>
      </c>
      <c r="D52" s="114"/>
      <c r="E52" s="114"/>
      <c r="F52" s="4" t="s">
        <v>486</v>
      </c>
      <c r="G52" s="59">
        <v>384.46699999999998</v>
      </c>
      <c r="H52" s="14">
        <v>0</v>
      </c>
      <c r="I52" s="14">
        <f t="shared" si="24"/>
        <v>0</v>
      </c>
      <c r="J52" s="14">
        <f t="shared" si="25"/>
        <v>0</v>
      </c>
      <c r="K52" s="14">
        <f t="shared" si="26"/>
        <v>0</v>
      </c>
      <c r="L52" s="24" t="s">
        <v>505</v>
      </c>
      <c r="Z52" s="28">
        <f t="shared" si="27"/>
        <v>0</v>
      </c>
      <c r="AB52" s="28">
        <f t="shared" si="28"/>
        <v>0</v>
      </c>
      <c r="AC52" s="28">
        <f t="shared" si="29"/>
        <v>0</v>
      </c>
      <c r="AD52" s="28">
        <f t="shared" si="30"/>
        <v>0</v>
      </c>
      <c r="AE52" s="28">
        <f t="shared" si="31"/>
        <v>0</v>
      </c>
      <c r="AF52" s="28">
        <f t="shared" si="32"/>
        <v>0</v>
      </c>
      <c r="AG52" s="28">
        <f t="shared" si="33"/>
        <v>0</v>
      </c>
      <c r="AH52" s="28">
        <f t="shared" si="34"/>
        <v>0</v>
      </c>
      <c r="AI52" s="23" t="s">
        <v>515</v>
      </c>
      <c r="AJ52" s="14">
        <f t="shared" si="35"/>
        <v>0</v>
      </c>
      <c r="AK52" s="14">
        <f t="shared" si="36"/>
        <v>0</v>
      </c>
      <c r="AL52" s="14">
        <f t="shared" si="37"/>
        <v>0</v>
      </c>
      <c r="AN52" s="28">
        <v>21</v>
      </c>
      <c r="AO52" s="28">
        <f>H52*0</f>
        <v>0</v>
      </c>
      <c r="AP52" s="28">
        <f>H52*(1-0)</f>
        <v>0</v>
      </c>
      <c r="AQ52" s="24" t="s">
        <v>7</v>
      </c>
      <c r="AV52" s="28">
        <f t="shared" si="38"/>
        <v>0</v>
      </c>
      <c r="AW52" s="28">
        <f t="shared" si="39"/>
        <v>0</v>
      </c>
      <c r="AX52" s="28">
        <f t="shared" si="40"/>
        <v>0</v>
      </c>
      <c r="AY52" s="29" t="s">
        <v>524</v>
      </c>
      <c r="AZ52" s="29" t="s">
        <v>541</v>
      </c>
      <c r="BA52" s="23" t="s">
        <v>546</v>
      </c>
      <c r="BC52" s="28">
        <f t="shared" si="41"/>
        <v>0</v>
      </c>
      <c r="BD52" s="28">
        <f t="shared" si="42"/>
        <v>0</v>
      </c>
      <c r="BE52" s="28">
        <v>0</v>
      </c>
      <c r="BF52" s="28">
        <f>52</f>
        <v>52</v>
      </c>
      <c r="BH52" s="14">
        <f t="shared" si="43"/>
        <v>0</v>
      </c>
      <c r="BI52" s="14">
        <f t="shared" si="44"/>
        <v>0</v>
      </c>
      <c r="BJ52" s="14">
        <f t="shared" si="45"/>
        <v>0</v>
      </c>
    </row>
    <row r="53" spans="1:62" x14ac:dyDescent="0.2">
      <c r="A53" s="4" t="s">
        <v>38</v>
      </c>
      <c r="B53" s="4" t="s">
        <v>181</v>
      </c>
      <c r="C53" s="113" t="s">
        <v>344</v>
      </c>
      <c r="D53" s="114"/>
      <c r="E53" s="114"/>
      <c r="F53" s="4" t="s">
        <v>487</v>
      </c>
      <c r="G53" s="59">
        <v>37.218000000000004</v>
      </c>
      <c r="H53" s="14">
        <v>0</v>
      </c>
      <c r="I53" s="14">
        <f t="shared" si="24"/>
        <v>0</v>
      </c>
      <c r="J53" s="14">
        <f t="shared" si="25"/>
        <v>0</v>
      </c>
      <c r="K53" s="14">
        <f t="shared" si="26"/>
        <v>0</v>
      </c>
      <c r="L53" s="24" t="s">
        <v>505</v>
      </c>
      <c r="Z53" s="28">
        <f t="shared" si="27"/>
        <v>0</v>
      </c>
      <c r="AB53" s="28">
        <f t="shared" si="28"/>
        <v>0</v>
      </c>
      <c r="AC53" s="28">
        <f t="shared" si="29"/>
        <v>0</v>
      </c>
      <c r="AD53" s="28">
        <f t="shared" si="30"/>
        <v>0</v>
      </c>
      <c r="AE53" s="28">
        <f t="shared" si="31"/>
        <v>0</v>
      </c>
      <c r="AF53" s="28">
        <f t="shared" si="32"/>
        <v>0</v>
      </c>
      <c r="AG53" s="28">
        <f t="shared" si="33"/>
        <v>0</v>
      </c>
      <c r="AH53" s="28">
        <f t="shared" si="34"/>
        <v>0</v>
      </c>
      <c r="AI53" s="23" t="s">
        <v>515</v>
      </c>
      <c r="AJ53" s="14">
        <f t="shared" si="35"/>
        <v>0</v>
      </c>
      <c r="AK53" s="14">
        <f t="shared" si="36"/>
        <v>0</v>
      </c>
      <c r="AL53" s="14">
        <f t="shared" si="37"/>
        <v>0</v>
      </c>
      <c r="AN53" s="28">
        <v>21</v>
      </c>
      <c r="AO53" s="28">
        <f>H53*0.0128795411089866</f>
        <v>0</v>
      </c>
      <c r="AP53" s="28">
        <f>H53*(1-0.0128795411089866)</f>
        <v>0</v>
      </c>
      <c r="AQ53" s="24" t="s">
        <v>7</v>
      </c>
      <c r="AV53" s="28">
        <f t="shared" si="38"/>
        <v>0</v>
      </c>
      <c r="AW53" s="28">
        <f t="shared" si="39"/>
        <v>0</v>
      </c>
      <c r="AX53" s="28">
        <f t="shared" si="40"/>
        <v>0</v>
      </c>
      <c r="AY53" s="29" t="s">
        <v>524</v>
      </c>
      <c r="AZ53" s="29" t="s">
        <v>541</v>
      </c>
      <c r="BA53" s="23" t="s">
        <v>546</v>
      </c>
      <c r="BC53" s="28">
        <f t="shared" si="41"/>
        <v>0</v>
      </c>
      <c r="BD53" s="28">
        <f t="shared" si="42"/>
        <v>0</v>
      </c>
      <c r="BE53" s="28">
        <v>0</v>
      </c>
      <c r="BF53" s="28">
        <f>53</f>
        <v>53</v>
      </c>
      <c r="BH53" s="14">
        <f t="shared" si="43"/>
        <v>0</v>
      </c>
      <c r="BI53" s="14">
        <f t="shared" si="44"/>
        <v>0</v>
      </c>
      <c r="BJ53" s="14">
        <f t="shared" si="45"/>
        <v>0</v>
      </c>
    </row>
    <row r="54" spans="1:62" x14ac:dyDescent="0.2">
      <c r="A54" s="4" t="s">
        <v>39</v>
      </c>
      <c r="B54" s="4" t="s">
        <v>182</v>
      </c>
      <c r="C54" s="113" t="s">
        <v>345</v>
      </c>
      <c r="D54" s="114"/>
      <c r="E54" s="114"/>
      <c r="F54" s="4" t="s">
        <v>487</v>
      </c>
      <c r="G54" s="59">
        <v>16.736000000000001</v>
      </c>
      <c r="H54" s="14">
        <v>0</v>
      </c>
      <c r="I54" s="14">
        <f t="shared" si="24"/>
        <v>0</v>
      </c>
      <c r="J54" s="14">
        <f t="shared" si="25"/>
        <v>0</v>
      </c>
      <c r="K54" s="14">
        <f t="shared" si="26"/>
        <v>0</v>
      </c>
      <c r="L54" s="24" t="s">
        <v>505</v>
      </c>
      <c r="Z54" s="28">
        <f t="shared" si="27"/>
        <v>0</v>
      </c>
      <c r="AB54" s="28">
        <f t="shared" si="28"/>
        <v>0</v>
      </c>
      <c r="AC54" s="28">
        <f t="shared" si="29"/>
        <v>0</v>
      </c>
      <c r="AD54" s="28">
        <f t="shared" si="30"/>
        <v>0</v>
      </c>
      <c r="AE54" s="28">
        <f t="shared" si="31"/>
        <v>0</v>
      </c>
      <c r="AF54" s="28">
        <f t="shared" si="32"/>
        <v>0</v>
      </c>
      <c r="AG54" s="28">
        <f t="shared" si="33"/>
        <v>0</v>
      </c>
      <c r="AH54" s="28">
        <f t="shared" si="34"/>
        <v>0</v>
      </c>
      <c r="AI54" s="23" t="s">
        <v>515</v>
      </c>
      <c r="AJ54" s="14">
        <f t="shared" si="35"/>
        <v>0</v>
      </c>
      <c r="AK54" s="14">
        <f t="shared" si="36"/>
        <v>0</v>
      </c>
      <c r="AL54" s="14">
        <f t="shared" si="37"/>
        <v>0</v>
      </c>
      <c r="AN54" s="28">
        <v>21</v>
      </c>
      <c r="AO54" s="28">
        <f>H54*0.00759413754227734</f>
        <v>0</v>
      </c>
      <c r="AP54" s="28">
        <f>H54*(1-0.00759413754227734)</f>
        <v>0</v>
      </c>
      <c r="AQ54" s="24" t="s">
        <v>7</v>
      </c>
      <c r="AV54" s="28">
        <f t="shared" si="38"/>
        <v>0</v>
      </c>
      <c r="AW54" s="28">
        <f t="shared" si="39"/>
        <v>0</v>
      </c>
      <c r="AX54" s="28">
        <f t="shared" si="40"/>
        <v>0</v>
      </c>
      <c r="AY54" s="29" t="s">
        <v>524</v>
      </c>
      <c r="AZ54" s="29" t="s">
        <v>541</v>
      </c>
      <c r="BA54" s="23" t="s">
        <v>546</v>
      </c>
      <c r="BC54" s="28">
        <f t="shared" si="41"/>
        <v>0</v>
      </c>
      <c r="BD54" s="28">
        <f t="shared" si="42"/>
        <v>0</v>
      </c>
      <c r="BE54" s="28">
        <v>0</v>
      </c>
      <c r="BF54" s="28">
        <f>54</f>
        <v>54</v>
      </c>
      <c r="BH54" s="14">
        <f t="shared" si="43"/>
        <v>0</v>
      </c>
      <c r="BI54" s="14">
        <f t="shared" si="44"/>
        <v>0</v>
      </c>
      <c r="BJ54" s="14">
        <f t="shared" si="45"/>
        <v>0</v>
      </c>
    </row>
    <row r="55" spans="1:62" x14ac:dyDescent="0.2">
      <c r="A55" s="4" t="s">
        <v>40</v>
      </c>
      <c r="B55" s="4" t="s">
        <v>183</v>
      </c>
      <c r="C55" s="113" t="s">
        <v>346</v>
      </c>
      <c r="D55" s="114"/>
      <c r="E55" s="114"/>
      <c r="F55" s="4" t="s">
        <v>486</v>
      </c>
      <c r="G55" s="59">
        <v>163.578</v>
      </c>
      <c r="H55" s="14">
        <v>0</v>
      </c>
      <c r="I55" s="14">
        <f t="shared" si="24"/>
        <v>0</v>
      </c>
      <c r="J55" s="14">
        <f t="shared" si="25"/>
        <v>0</v>
      </c>
      <c r="K55" s="14">
        <f t="shared" si="26"/>
        <v>0</v>
      </c>
      <c r="L55" s="24" t="s">
        <v>505</v>
      </c>
      <c r="Z55" s="28">
        <f t="shared" si="27"/>
        <v>0</v>
      </c>
      <c r="AB55" s="28">
        <f t="shared" si="28"/>
        <v>0</v>
      </c>
      <c r="AC55" s="28">
        <f t="shared" si="29"/>
        <v>0</v>
      </c>
      <c r="AD55" s="28">
        <f t="shared" si="30"/>
        <v>0</v>
      </c>
      <c r="AE55" s="28">
        <f t="shared" si="31"/>
        <v>0</v>
      </c>
      <c r="AF55" s="28">
        <f t="shared" si="32"/>
        <v>0</v>
      </c>
      <c r="AG55" s="28">
        <f t="shared" si="33"/>
        <v>0</v>
      </c>
      <c r="AH55" s="28">
        <f t="shared" si="34"/>
        <v>0</v>
      </c>
      <c r="AI55" s="23" t="s">
        <v>515</v>
      </c>
      <c r="AJ55" s="14">
        <f t="shared" si="35"/>
        <v>0</v>
      </c>
      <c r="AK55" s="14">
        <f t="shared" si="36"/>
        <v>0</v>
      </c>
      <c r="AL55" s="14">
        <f t="shared" si="37"/>
        <v>0</v>
      </c>
      <c r="AN55" s="28">
        <v>21</v>
      </c>
      <c r="AO55" s="28">
        <f>H55*0.153291255071441</f>
        <v>0</v>
      </c>
      <c r="AP55" s="28">
        <f>H55*(1-0.153291255071441)</f>
        <v>0</v>
      </c>
      <c r="AQ55" s="24" t="s">
        <v>7</v>
      </c>
      <c r="AV55" s="28">
        <f t="shared" si="38"/>
        <v>0</v>
      </c>
      <c r="AW55" s="28">
        <f t="shared" si="39"/>
        <v>0</v>
      </c>
      <c r="AX55" s="28">
        <f t="shared" si="40"/>
        <v>0</v>
      </c>
      <c r="AY55" s="29" t="s">
        <v>524</v>
      </c>
      <c r="AZ55" s="29" t="s">
        <v>541</v>
      </c>
      <c r="BA55" s="23" t="s">
        <v>546</v>
      </c>
      <c r="BC55" s="28">
        <f t="shared" si="41"/>
        <v>0</v>
      </c>
      <c r="BD55" s="28">
        <f t="shared" si="42"/>
        <v>0</v>
      </c>
      <c r="BE55" s="28">
        <v>0</v>
      </c>
      <c r="BF55" s="28">
        <f>55</f>
        <v>55</v>
      </c>
      <c r="BH55" s="14">
        <f t="shared" si="43"/>
        <v>0</v>
      </c>
      <c r="BI55" s="14">
        <f t="shared" si="44"/>
        <v>0</v>
      </c>
      <c r="BJ55" s="14">
        <f t="shared" si="45"/>
        <v>0</v>
      </c>
    </row>
    <row r="56" spans="1:62" x14ac:dyDescent="0.2">
      <c r="A56" s="4" t="s">
        <v>41</v>
      </c>
      <c r="B56" s="4" t="s">
        <v>184</v>
      </c>
      <c r="C56" s="113" t="s">
        <v>347</v>
      </c>
      <c r="D56" s="114"/>
      <c r="E56" s="114"/>
      <c r="F56" s="4" t="s">
        <v>486</v>
      </c>
      <c r="G56" s="59">
        <v>216.83</v>
      </c>
      <c r="H56" s="14">
        <v>0</v>
      </c>
      <c r="I56" s="14">
        <f t="shared" si="24"/>
        <v>0</v>
      </c>
      <c r="J56" s="14">
        <f t="shared" si="25"/>
        <v>0</v>
      </c>
      <c r="K56" s="14">
        <f t="shared" si="26"/>
        <v>0</v>
      </c>
      <c r="L56" s="24" t="s">
        <v>505</v>
      </c>
      <c r="Z56" s="28">
        <f t="shared" si="27"/>
        <v>0</v>
      </c>
      <c r="AB56" s="28">
        <f t="shared" si="28"/>
        <v>0</v>
      </c>
      <c r="AC56" s="28">
        <f t="shared" si="29"/>
        <v>0</v>
      </c>
      <c r="AD56" s="28">
        <f t="shared" si="30"/>
        <v>0</v>
      </c>
      <c r="AE56" s="28">
        <f t="shared" si="31"/>
        <v>0</v>
      </c>
      <c r="AF56" s="28">
        <f t="shared" si="32"/>
        <v>0</v>
      </c>
      <c r="AG56" s="28">
        <f t="shared" si="33"/>
        <v>0</v>
      </c>
      <c r="AH56" s="28">
        <f t="shared" si="34"/>
        <v>0</v>
      </c>
      <c r="AI56" s="23" t="s">
        <v>515</v>
      </c>
      <c r="AJ56" s="14">
        <f t="shared" si="35"/>
        <v>0</v>
      </c>
      <c r="AK56" s="14">
        <f t="shared" si="36"/>
        <v>0</v>
      </c>
      <c r="AL56" s="14">
        <f t="shared" si="37"/>
        <v>0</v>
      </c>
      <c r="AN56" s="28">
        <v>21</v>
      </c>
      <c r="AO56" s="28">
        <f>H56*0.0481116934146493</f>
        <v>0</v>
      </c>
      <c r="AP56" s="28">
        <f>H56*(1-0.0481116934146493)</f>
        <v>0</v>
      </c>
      <c r="AQ56" s="24" t="s">
        <v>7</v>
      </c>
      <c r="AV56" s="28">
        <f t="shared" si="38"/>
        <v>0</v>
      </c>
      <c r="AW56" s="28">
        <f t="shared" si="39"/>
        <v>0</v>
      </c>
      <c r="AX56" s="28">
        <f t="shared" si="40"/>
        <v>0</v>
      </c>
      <c r="AY56" s="29" t="s">
        <v>524</v>
      </c>
      <c r="AZ56" s="29" t="s">
        <v>541</v>
      </c>
      <c r="BA56" s="23" t="s">
        <v>546</v>
      </c>
      <c r="BC56" s="28">
        <f t="shared" si="41"/>
        <v>0</v>
      </c>
      <c r="BD56" s="28">
        <f t="shared" si="42"/>
        <v>0</v>
      </c>
      <c r="BE56" s="28">
        <v>0</v>
      </c>
      <c r="BF56" s="28">
        <f>56</f>
        <v>56</v>
      </c>
      <c r="BH56" s="14">
        <f t="shared" si="43"/>
        <v>0</v>
      </c>
      <c r="BI56" s="14">
        <f t="shared" si="44"/>
        <v>0</v>
      </c>
      <c r="BJ56" s="14">
        <f t="shared" si="45"/>
        <v>0</v>
      </c>
    </row>
    <row r="57" spans="1:62" x14ac:dyDescent="0.2">
      <c r="A57" s="4" t="s">
        <v>42</v>
      </c>
      <c r="B57" s="4" t="s">
        <v>185</v>
      </c>
      <c r="C57" s="113" t="s">
        <v>348</v>
      </c>
      <c r="D57" s="114"/>
      <c r="E57" s="114"/>
      <c r="F57" s="4" t="s">
        <v>487</v>
      </c>
      <c r="G57" s="59">
        <v>0.629</v>
      </c>
      <c r="H57" s="14">
        <v>0</v>
      </c>
      <c r="I57" s="14">
        <f t="shared" si="24"/>
        <v>0</v>
      </c>
      <c r="J57" s="14">
        <f t="shared" si="25"/>
        <v>0</v>
      </c>
      <c r="K57" s="14">
        <f t="shared" si="26"/>
        <v>0</v>
      </c>
      <c r="L57" s="24" t="s">
        <v>505</v>
      </c>
      <c r="Z57" s="28">
        <f t="shared" si="27"/>
        <v>0</v>
      </c>
      <c r="AB57" s="28">
        <f t="shared" si="28"/>
        <v>0</v>
      </c>
      <c r="AC57" s="28">
        <f t="shared" si="29"/>
        <v>0</v>
      </c>
      <c r="AD57" s="28">
        <f t="shared" si="30"/>
        <v>0</v>
      </c>
      <c r="AE57" s="28">
        <f t="shared" si="31"/>
        <v>0</v>
      </c>
      <c r="AF57" s="28">
        <f t="shared" si="32"/>
        <v>0</v>
      </c>
      <c r="AG57" s="28">
        <f t="shared" si="33"/>
        <v>0</v>
      </c>
      <c r="AH57" s="28">
        <f t="shared" si="34"/>
        <v>0</v>
      </c>
      <c r="AI57" s="23" t="s">
        <v>515</v>
      </c>
      <c r="AJ57" s="14">
        <f t="shared" si="35"/>
        <v>0</v>
      </c>
      <c r="AK57" s="14">
        <f t="shared" si="36"/>
        <v>0</v>
      </c>
      <c r="AL57" s="14">
        <f t="shared" si="37"/>
        <v>0</v>
      </c>
      <c r="AN57" s="28">
        <v>21</v>
      </c>
      <c r="AO57" s="28">
        <f>H57*0.0257758426384848</f>
        <v>0</v>
      </c>
      <c r="AP57" s="28">
        <f>H57*(1-0.0257758426384848)</f>
        <v>0</v>
      </c>
      <c r="AQ57" s="24" t="s">
        <v>7</v>
      </c>
      <c r="AV57" s="28">
        <f t="shared" si="38"/>
        <v>0</v>
      </c>
      <c r="AW57" s="28">
        <f t="shared" si="39"/>
        <v>0</v>
      </c>
      <c r="AX57" s="28">
        <f t="shared" si="40"/>
        <v>0</v>
      </c>
      <c r="AY57" s="29" t="s">
        <v>524</v>
      </c>
      <c r="AZ57" s="29" t="s">
        <v>541</v>
      </c>
      <c r="BA57" s="23" t="s">
        <v>546</v>
      </c>
      <c r="BC57" s="28">
        <f t="shared" si="41"/>
        <v>0</v>
      </c>
      <c r="BD57" s="28">
        <f t="shared" si="42"/>
        <v>0</v>
      </c>
      <c r="BE57" s="28">
        <v>0</v>
      </c>
      <c r="BF57" s="28">
        <f>57</f>
        <v>57</v>
      </c>
      <c r="BH57" s="14">
        <f t="shared" si="43"/>
        <v>0</v>
      </c>
      <c r="BI57" s="14">
        <f t="shared" si="44"/>
        <v>0</v>
      </c>
      <c r="BJ57" s="14">
        <f t="shared" si="45"/>
        <v>0</v>
      </c>
    </row>
    <row r="58" spans="1:62" x14ac:dyDescent="0.2">
      <c r="A58" s="4" t="s">
        <v>43</v>
      </c>
      <c r="B58" s="4" t="s">
        <v>186</v>
      </c>
      <c r="C58" s="113" t="s">
        <v>349</v>
      </c>
      <c r="D58" s="114"/>
      <c r="E58" s="114"/>
      <c r="F58" s="4" t="s">
        <v>487</v>
      </c>
      <c r="G58" s="59">
        <v>1.7809999999999999</v>
      </c>
      <c r="H58" s="14">
        <v>0</v>
      </c>
      <c r="I58" s="14">
        <f t="shared" si="24"/>
        <v>0</v>
      </c>
      <c r="J58" s="14">
        <f t="shared" si="25"/>
        <v>0</v>
      </c>
      <c r="K58" s="14">
        <f t="shared" si="26"/>
        <v>0</v>
      </c>
      <c r="L58" s="24" t="s">
        <v>505</v>
      </c>
      <c r="Z58" s="28">
        <f t="shared" si="27"/>
        <v>0</v>
      </c>
      <c r="AB58" s="28">
        <f t="shared" si="28"/>
        <v>0</v>
      </c>
      <c r="AC58" s="28">
        <f t="shared" si="29"/>
        <v>0</v>
      </c>
      <c r="AD58" s="28">
        <f t="shared" si="30"/>
        <v>0</v>
      </c>
      <c r="AE58" s="28">
        <f t="shared" si="31"/>
        <v>0</v>
      </c>
      <c r="AF58" s="28">
        <f t="shared" si="32"/>
        <v>0</v>
      </c>
      <c r="AG58" s="28">
        <f t="shared" si="33"/>
        <v>0</v>
      </c>
      <c r="AH58" s="28">
        <f t="shared" si="34"/>
        <v>0</v>
      </c>
      <c r="AI58" s="23" t="s">
        <v>515</v>
      </c>
      <c r="AJ58" s="14">
        <f t="shared" si="35"/>
        <v>0</v>
      </c>
      <c r="AK58" s="14">
        <f t="shared" si="36"/>
        <v>0</v>
      </c>
      <c r="AL58" s="14">
        <f t="shared" si="37"/>
        <v>0</v>
      </c>
      <c r="AN58" s="28">
        <v>21</v>
      </c>
      <c r="AO58" s="28">
        <f>H58*0</f>
        <v>0</v>
      </c>
      <c r="AP58" s="28">
        <f>H58*(1-0)</f>
        <v>0</v>
      </c>
      <c r="AQ58" s="24" t="s">
        <v>7</v>
      </c>
      <c r="AV58" s="28">
        <f t="shared" si="38"/>
        <v>0</v>
      </c>
      <c r="AW58" s="28">
        <f t="shared" si="39"/>
        <v>0</v>
      </c>
      <c r="AX58" s="28">
        <f t="shared" si="40"/>
        <v>0</v>
      </c>
      <c r="AY58" s="29" t="s">
        <v>524</v>
      </c>
      <c r="AZ58" s="29" t="s">
        <v>541</v>
      </c>
      <c r="BA58" s="23" t="s">
        <v>546</v>
      </c>
      <c r="BC58" s="28">
        <f t="shared" si="41"/>
        <v>0</v>
      </c>
      <c r="BD58" s="28">
        <f t="shared" si="42"/>
        <v>0</v>
      </c>
      <c r="BE58" s="28">
        <v>0</v>
      </c>
      <c r="BF58" s="28">
        <f>58</f>
        <v>58</v>
      </c>
      <c r="BH58" s="14">
        <f t="shared" si="43"/>
        <v>0</v>
      </c>
      <c r="BI58" s="14">
        <f t="shared" si="44"/>
        <v>0</v>
      </c>
      <c r="BJ58" s="14">
        <f t="shared" si="45"/>
        <v>0</v>
      </c>
    </row>
    <row r="59" spans="1:62" x14ac:dyDescent="0.2">
      <c r="A59" s="4" t="s">
        <v>44</v>
      </c>
      <c r="B59" s="4" t="s">
        <v>187</v>
      </c>
      <c r="C59" s="113" t="s">
        <v>350</v>
      </c>
      <c r="D59" s="114"/>
      <c r="E59" s="114"/>
      <c r="F59" s="4" t="s">
        <v>487</v>
      </c>
      <c r="G59" s="59">
        <v>4.4290000000000003</v>
      </c>
      <c r="H59" s="14">
        <v>0</v>
      </c>
      <c r="I59" s="14">
        <f t="shared" si="24"/>
        <v>0</v>
      </c>
      <c r="J59" s="14">
        <f t="shared" si="25"/>
        <v>0</v>
      </c>
      <c r="K59" s="14">
        <f t="shared" si="26"/>
        <v>0</v>
      </c>
      <c r="L59" s="24" t="s">
        <v>505</v>
      </c>
      <c r="Z59" s="28">
        <f t="shared" si="27"/>
        <v>0</v>
      </c>
      <c r="AB59" s="28">
        <f t="shared" si="28"/>
        <v>0</v>
      </c>
      <c r="AC59" s="28">
        <f t="shared" si="29"/>
        <v>0</v>
      </c>
      <c r="AD59" s="28">
        <f t="shared" si="30"/>
        <v>0</v>
      </c>
      <c r="AE59" s="28">
        <f t="shared" si="31"/>
        <v>0</v>
      </c>
      <c r="AF59" s="28">
        <f t="shared" si="32"/>
        <v>0</v>
      </c>
      <c r="AG59" s="28">
        <f t="shared" si="33"/>
        <v>0</v>
      </c>
      <c r="AH59" s="28">
        <f t="shared" si="34"/>
        <v>0</v>
      </c>
      <c r="AI59" s="23" t="s">
        <v>515</v>
      </c>
      <c r="AJ59" s="14">
        <f t="shared" si="35"/>
        <v>0</v>
      </c>
      <c r="AK59" s="14">
        <f t="shared" si="36"/>
        <v>0</v>
      </c>
      <c r="AL59" s="14">
        <f t="shared" si="37"/>
        <v>0</v>
      </c>
      <c r="AN59" s="28">
        <v>21</v>
      </c>
      <c r="AO59" s="28">
        <f>H59*0</f>
        <v>0</v>
      </c>
      <c r="AP59" s="28">
        <f>H59*(1-0)</f>
        <v>0</v>
      </c>
      <c r="AQ59" s="24" t="s">
        <v>7</v>
      </c>
      <c r="AV59" s="28">
        <f t="shared" si="38"/>
        <v>0</v>
      </c>
      <c r="AW59" s="28">
        <f t="shared" si="39"/>
        <v>0</v>
      </c>
      <c r="AX59" s="28">
        <f t="shared" si="40"/>
        <v>0</v>
      </c>
      <c r="AY59" s="29" t="s">
        <v>524</v>
      </c>
      <c r="AZ59" s="29" t="s">
        <v>541</v>
      </c>
      <c r="BA59" s="23" t="s">
        <v>546</v>
      </c>
      <c r="BC59" s="28">
        <f t="shared" si="41"/>
        <v>0</v>
      </c>
      <c r="BD59" s="28">
        <f t="shared" si="42"/>
        <v>0</v>
      </c>
      <c r="BE59" s="28">
        <v>0</v>
      </c>
      <c r="BF59" s="28">
        <f>59</f>
        <v>59</v>
      </c>
      <c r="BH59" s="14">
        <f t="shared" si="43"/>
        <v>0</v>
      </c>
      <c r="BI59" s="14">
        <f t="shared" si="44"/>
        <v>0</v>
      </c>
      <c r="BJ59" s="14">
        <f t="shared" si="45"/>
        <v>0</v>
      </c>
    </row>
    <row r="60" spans="1:62" x14ac:dyDescent="0.2">
      <c r="A60" s="4" t="s">
        <v>45</v>
      </c>
      <c r="B60" s="4" t="s">
        <v>188</v>
      </c>
      <c r="C60" s="113" t="s">
        <v>351</v>
      </c>
      <c r="D60" s="114"/>
      <c r="E60" s="114"/>
      <c r="F60" s="4" t="s">
        <v>485</v>
      </c>
      <c r="G60" s="59">
        <v>6.12</v>
      </c>
      <c r="H60" s="14">
        <v>0</v>
      </c>
      <c r="I60" s="14">
        <f t="shared" si="24"/>
        <v>0</v>
      </c>
      <c r="J60" s="14">
        <f t="shared" si="25"/>
        <v>0</v>
      </c>
      <c r="K60" s="14">
        <f t="shared" si="26"/>
        <v>0</v>
      </c>
      <c r="L60" s="24" t="s">
        <v>505</v>
      </c>
      <c r="Z60" s="28">
        <f t="shared" si="27"/>
        <v>0</v>
      </c>
      <c r="AB60" s="28">
        <f t="shared" si="28"/>
        <v>0</v>
      </c>
      <c r="AC60" s="28">
        <f t="shared" si="29"/>
        <v>0</v>
      </c>
      <c r="AD60" s="28">
        <f t="shared" si="30"/>
        <v>0</v>
      </c>
      <c r="AE60" s="28">
        <f t="shared" si="31"/>
        <v>0</v>
      </c>
      <c r="AF60" s="28">
        <f t="shared" si="32"/>
        <v>0</v>
      </c>
      <c r="AG60" s="28">
        <f t="shared" si="33"/>
        <v>0</v>
      </c>
      <c r="AH60" s="28">
        <f t="shared" si="34"/>
        <v>0</v>
      </c>
      <c r="AI60" s="23" t="s">
        <v>515</v>
      </c>
      <c r="AJ60" s="14">
        <f t="shared" si="35"/>
        <v>0</v>
      </c>
      <c r="AK60" s="14">
        <f t="shared" si="36"/>
        <v>0</v>
      </c>
      <c r="AL60" s="14">
        <f t="shared" si="37"/>
        <v>0</v>
      </c>
      <c r="AN60" s="28">
        <v>21</v>
      </c>
      <c r="AO60" s="28">
        <f>H60*0.10625634030945</f>
        <v>0</v>
      </c>
      <c r="AP60" s="28">
        <f>H60*(1-0.10625634030945)</f>
        <v>0</v>
      </c>
      <c r="AQ60" s="24" t="s">
        <v>7</v>
      </c>
      <c r="AV60" s="28">
        <f t="shared" si="38"/>
        <v>0</v>
      </c>
      <c r="AW60" s="28">
        <f t="shared" si="39"/>
        <v>0</v>
      </c>
      <c r="AX60" s="28">
        <f t="shared" si="40"/>
        <v>0</v>
      </c>
      <c r="AY60" s="29" t="s">
        <v>524</v>
      </c>
      <c r="AZ60" s="29" t="s">
        <v>541</v>
      </c>
      <c r="BA60" s="23" t="s">
        <v>546</v>
      </c>
      <c r="BC60" s="28">
        <f t="shared" si="41"/>
        <v>0</v>
      </c>
      <c r="BD60" s="28">
        <f t="shared" si="42"/>
        <v>0</v>
      </c>
      <c r="BE60" s="28">
        <v>0</v>
      </c>
      <c r="BF60" s="28">
        <f>60</f>
        <v>60</v>
      </c>
      <c r="BH60" s="14">
        <f t="shared" si="43"/>
        <v>0</v>
      </c>
      <c r="BI60" s="14">
        <f t="shared" si="44"/>
        <v>0</v>
      </c>
      <c r="BJ60" s="14">
        <f t="shared" si="45"/>
        <v>0</v>
      </c>
    </row>
    <row r="61" spans="1:62" x14ac:dyDescent="0.2">
      <c r="A61" s="4" t="s">
        <v>46</v>
      </c>
      <c r="B61" s="4" t="s">
        <v>189</v>
      </c>
      <c r="C61" s="113" t="s">
        <v>352</v>
      </c>
      <c r="D61" s="114"/>
      <c r="E61" s="114"/>
      <c r="F61" s="4" t="s">
        <v>485</v>
      </c>
      <c r="G61" s="59">
        <v>24</v>
      </c>
      <c r="H61" s="14">
        <v>0</v>
      </c>
      <c r="I61" s="14">
        <f t="shared" si="24"/>
        <v>0</v>
      </c>
      <c r="J61" s="14">
        <f t="shared" si="25"/>
        <v>0</v>
      </c>
      <c r="K61" s="14">
        <f t="shared" si="26"/>
        <v>0</v>
      </c>
      <c r="L61" s="24" t="s">
        <v>505</v>
      </c>
      <c r="Z61" s="28">
        <f t="shared" si="27"/>
        <v>0</v>
      </c>
      <c r="AB61" s="28">
        <f t="shared" si="28"/>
        <v>0</v>
      </c>
      <c r="AC61" s="28">
        <f t="shared" si="29"/>
        <v>0</v>
      </c>
      <c r="AD61" s="28">
        <f t="shared" si="30"/>
        <v>0</v>
      </c>
      <c r="AE61" s="28">
        <f t="shared" si="31"/>
        <v>0</v>
      </c>
      <c r="AF61" s="28">
        <f t="shared" si="32"/>
        <v>0</v>
      </c>
      <c r="AG61" s="28">
        <f t="shared" si="33"/>
        <v>0</v>
      </c>
      <c r="AH61" s="28">
        <f t="shared" si="34"/>
        <v>0</v>
      </c>
      <c r="AI61" s="23" t="s">
        <v>515</v>
      </c>
      <c r="AJ61" s="14">
        <f t="shared" si="35"/>
        <v>0</v>
      </c>
      <c r="AK61" s="14">
        <f t="shared" si="36"/>
        <v>0</v>
      </c>
      <c r="AL61" s="14">
        <f t="shared" si="37"/>
        <v>0</v>
      </c>
      <c r="AN61" s="28">
        <v>21</v>
      </c>
      <c r="AO61" s="28">
        <f>H61*0</f>
        <v>0</v>
      </c>
      <c r="AP61" s="28">
        <f>H61*(1-0)</f>
        <v>0</v>
      </c>
      <c r="AQ61" s="24" t="s">
        <v>7</v>
      </c>
      <c r="AV61" s="28">
        <f t="shared" si="38"/>
        <v>0</v>
      </c>
      <c r="AW61" s="28">
        <f t="shared" si="39"/>
        <v>0</v>
      </c>
      <c r="AX61" s="28">
        <f t="shared" si="40"/>
        <v>0</v>
      </c>
      <c r="AY61" s="29" t="s">
        <v>524</v>
      </c>
      <c r="AZ61" s="29" t="s">
        <v>541</v>
      </c>
      <c r="BA61" s="23" t="s">
        <v>546</v>
      </c>
      <c r="BC61" s="28">
        <f t="shared" si="41"/>
        <v>0</v>
      </c>
      <c r="BD61" s="28">
        <f t="shared" si="42"/>
        <v>0</v>
      </c>
      <c r="BE61" s="28">
        <v>0</v>
      </c>
      <c r="BF61" s="28">
        <f>61</f>
        <v>61</v>
      </c>
      <c r="BH61" s="14">
        <f t="shared" si="43"/>
        <v>0</v>
      </c>
      <c r="BI61" s="14">
        <f t="shared" si="44"/>
        <v>0</v>
      </c>
      <c r="BJ61" s="14">
        <f t="shared" si="45"/>
        <v>0</v>
      </c>
    </row>
    <row r="62" spans="1:62" x14ac:dyDescent="0.2">
      <c r="A62" s="4" t="s">
        <v>47</v>
      </c>
      <c r="B62" s="4" t="s">
        <v>190</v>
      </c>
      <c r="C62" s="113" t="s">
        <v>353</v>
      </c>
      <c r="D62" s="114"/>
      <c r="E62" s="114"/>
      <c r="F62" s="4" t="s">
        <v>487</v>
      </c>
      <c r="G62" s="59">
        <v>0.221</v>
      </c>
      <c r="H62" s="14">
        <v>0</v>
      </c>
      <c r="I62" s="14">
        <f t="shared" si="24"/>
        <v>0</v>
      </c>
      <c r="J62" s="14">
        <f t="shared" si="25"/>
        <v>0</v>
      </c>
      <c r="K62" s="14">
        <f t="shared" si="26"/>
        <v>0</v>
      </c>
      <c r="L62" s="24" t="s">
        <v>505</v>
      </c>
      <c r="Z62" s="28">
        <f t="shared" si="27"/>
        <v>0</v>
      </c>
      <c r="AB62" s="28">
        <f t="shared" si="28"/>
        <v>0</v>
      </c>
      <c r="AC62" s="28">
        <f t="shared" si="29"/>
        <v>0</v>
      </c>
      <c r="AD62" s="28">
        <f t="shared" si="30"/>
        <v>0</v>
      </c>
      <c r="AE62" s="28">
        <f t="shared" si="31"/>
        <v>0</v>
      </c>
      <c r="AF62" s="28">
        <f t="shared" si="32"/>
        <v>0</v>
      </c>
      <c r="AG62" s="28">
        <f t="shared" si="33"/>
        <v>0</v>
      </c>
      <c r="AH62" s="28">
        <f t="shared" si="34"/>
        <v>0</v>
      </c>
      <c r="AI62" s="23" t="s">
        <v>515</v>
      </c>
      <c r="AJ62" s="14">
        <f t="shared" si="35"/>
        <v>0</v>
      </c>
      <c r="AK62" s="14">
        <f t="shared" si="36"/>
        <v>0</v>
      </c>
      <c r="AL62" s="14">
        <f t="shared" si="37"/>
        <v>0</v>
      </c>
      <c r="AN62" s="28">
        <v>21</v>
      </c>
      <c r="AO62" s="28">
        <f>H62*0.0425616236626809</f>
        <v>0</v>
      </c>
      <c r="AP62" s="28">
        <f>H62*(1-0.0425616236626809)</f>
        <v>0</v>
      </c>
      <c r="AQ62" s="24" t="s">
        <v>7</v>
      </c>
      <c r="AV62" s="28">
        <f t="shared" si="38"/>
        <v>0</v>
      </c>
      <c r="AW62" s="28">
        <f t="shared" si="39"/>
        <v>0</v>
      </c>
      <c r="AX62" s="28">
        <f t="shared" si="40"/>
        <v>0</v>
      </c>
      <c r="AY62" s="29" t="s">
        <v>524</v>
      </c>
      <c r="AZ62" s="29" t="s">
        <v>541</v>
      </c>
      <c r="BA62" s="23" t="s">
        <v>546</v>
      </c>
      <c r="BC62" s="28">
        <f t="shared" si="41"/>
        <v>0</v>
      </c>
      <c r="BD62" s="28">
        <f t="shared" si="42"/>
        <v>0</v>
      </c>
      <c r="BE62" s="28">
        <v>0</v>
      </c>
      <c r="BF62" s="28">
        <f>62</f>
        <v>62</v>
      </c>
      <c r="BH62" s="14">
        <f t="shared" si="43"/>
        <v>0</v>
      </c>
      <c r="BI62" s="14">
        <f t="shared" si="44"/>
        <v>0</v>
      </c>
      <c r="BJ62" s="14">
        <f t="shared" si="45"/>
        <v>0</v>
      </c>
    </row>
    <row r="63" spans="1:62" x14ac:dyDescent="0.2">
      <c r="A63" s="4" t="s">
        <v>48</v>
      </c>
      <c r="B63" s="4" t="s">
        <v>191</v>
      </c>
      <c r="C63" s="113" t="s">
        <v>354</v>
      </c>
      <c r="D63" s="114"/>
      <c r="E63" s="114"/>
      <c r="F63" s="4" t="s">
        <v>487</v>
      </c>
      <c r="G63" s="59">
        <v>5.7930000000000001</v>
      </c>
      <c r="H63" s="14">
        <v>0</v>
      </c>
      <c r="I63" s="14">
        <f t="shared" si="24"/>
        <v>0</v>
      </c>
      <c r="J63" s="14">
        <f t="shared" si="25"/>
        <v>0</v>
      </c>
      <c r="K63" s="14">
        <f t="shared" si="26"/>
        <v>0</v>
      </c>
      <c r="L63" s="24" t="s">
        <v>505</v>
      </c>
      <c r="Z63" s="28">
        <f t="shared" si="27"/>
        <v>0</v>
      </c>
      <c r="AB63" s="28">
        <f t="shared" si="28"/>
        <v>0</v>
      </c>
      <c r="AC63" s="28">
        <f t="shared" si="29"/>
        <v>0</v>
      </c>
      <c r="AD63" s="28">
        <f t="shared" si="30"/>
        <v>0</v>
      </c>
      <c r="AE63" s="28">
        <f t="shared" si="31"/>
        <v>0</v>
      </c>
      <c r="AF63" s="28">
        <f t="shared" si="32"/>
        <v>0</v>
      </c>
      <c r="AG63" s="28">
        <f t="shared" si="33"/>
        <v>0</v>
      </c>
      <c r="AH63" s="28">
        <f t="shared" si="34"/>
        <v>0</v>
      </c>
      <c r="AI63" s="23" t="s">
        <v>515</v>
      </c>
      <c r="AJ63" s="14">
        <f t="shared" si="35"/>
        <v>0</v>
      </c>
      <c r="AK63" s="14">
        <f t="shared" si="36"/>
        <v>0</v>
      </c>
      <c r="AL63" s="14">
        <f t="shared" si="37"/>
        <v>0</v>
      </c>
      <c r="AN63" s="28">
        <v>21</v>
      </c>
      <c r="AO63" s="28">
        <f>H63*0.0723677758318739</f>
        <v>0</v>
      </c>
      <c r="AP63" s="28">
        <f>H63*(1-0.0723677758318739)</f>
        <v>0</v>
      </c>
      <c r="AQ63" s="24" t="s">
        <v>7</v>
      </c>
      <c r="AV63" s="28">
        <f t="shared" si="38"/>
        <v>0</v>
      </c>
      <c r="AW63" s="28">
        <f t="shared" si="39"/>
        <v>0</v>
      </c>
      <c r="AX63" s="28">
        <f t="shared" si="40"/>
        <v>0</v>
      </c>
      <c r="AY63" s="29" t="s">
        <v>524</v>
      </c>
      <c r="AZ63" s="29" t="s">
        <v>541</v>
      </c>
      <c r="BA63" s="23" t="s">
        <v>546</v>
      </c>
      <c r="BC63" s="28">
        <f t="shared" si="41"/>
        <v>0</v>
      </c>
      <c r="BD63" s="28">
        <f t="shared" si="42"/>
        <v>0</v>
      </c>
      <c r="BE63" s="28">
        <v>0</v>
      </c>
      <c r="BF63" s="28">
        <f>63</f>
        <v>63</v>
      </c>
      <c r="BH63" s="14">
        <f t="shared" si="43"/>
        <v>0</v>
      </c>
      <c r="BI63" s="14">
        <f t="shared" si="44"/>
        <v>0</v>
      </c>
      <c r="BJ63" s="14">
        <f t="shared" si="45"/>
        <v>0</v>
      </c>
    </row>
    <row r="64" spans="1:62" x14ac:dyDescent="0.2">
      <c r="A64" s="4" t="s">
        <v>49</v>
      </c>
      <c r="B64" s="4" t="s">
        <v>192</v>
      </c>
      <c r="C64" s="113" t="s">
        <v>355</v>
      </c>
      <c r="D64" s="114"/>
      <c r="E64" s="114"/>
      <c r="F64" s="4" t="s">
        <v>487</v>
      </c>
      <c r="G64" s="59">
        <v>6.6219999999999999</v>
      </c>
      <c r="H64" s="14">
        <v>0</v>
      </c>
      <c r="I64" s="14">
        <f t="shared" si="24"/>
        <v>0</v>
      </c>
      <c r="J64" s="14">
        <f t="shared" si="25"/>
        <v>0</v>
      </c>
      <c r="K64" s="14">
        <f t="shared" si="26"/>
        <v>0</v>
      </c>
      <c r="L64" s="24" t="s">
        <v>505</v>
      </c>
      <c r="Z64" s="28">
        <f t="shared" si="27"/>
        <v>0</v>
      </c>
      <c r="AB64" s="28">
        <f t="shared" si="28"/>
        <v>0</v>
      </c>
      <c r="AC64" s="28">
        <f t="shared" si="29"/>
        <v>0</v>
      </c>
      <c r="AD64" s="28">
        <f t="shared" si="30"/>
        <v>0</v>
      </c>
      <c r="AE64" s="28">
        <f t="shared" si="31"/>
        <v>0</v>
      </c>
      <c r="AF64" s="28">
        <f t="shared" si="32"/>
        <v>0</v>
      </c>
      <c r="AG64" s="28">
        <f t="shared" si="33"/>
        <v>0</v>
      </c>
      <c r="AH64" s="28">
        <f t="shared" si="34"/>
        <v>0</v>
      </c>
      <c r="AI64" s="23" t="s">
        <v>515</v>
      </c>
      <c r="AJ64" s="14">
        <f t="shared" si="35"/>
        <v>0</v>
      </c>
      <c r="AK64" s="14">
        <f t="shared" si="36"/>
        <v>0</v>
      </c>
      <c r="AL64" s="14">
        <f t="shared" si="37"/>
        <v>0</v>
      </c>
      <c r="AN64" s="28">
        <v>21</v>
      </c>
      <c r="AO64" s="28">
        <f>H64*0.0583944530046225</f>
        <v>0</v>
      </c>
      <c r="AP64" s="28">
        <f>H64*(1-0.0583944530046225)</f>
        <v>0</v>
      </c>
      <c r="AQ64" s="24" t="s">
        <v>7</v>
      </c>
      <c r="AV64" s="28">
        <f t="shared" si="38"/>
        <v>0</v>
      </c>
      <c r="AW64" s="28">
        <f t="shared" si="39"/>
        <v>0</v>
      </c>
      <c r="AX64" s="28">
        <f t="shared" si="40"/>
        <v>0</v>
      </c>
      <c r="AY64" s="29" t="s">
        <v>524</v>
      </c>
      <c r="AZ64" s="29" t="s">
        <v>541</v>
      </c>
      <c r="BA64" s="23" t="s">
        <v>546</v>
      </c>
      <c r="BC64" s="28">
        <f t="shared" si="41"/>
        <v>0</v>
      </c>
      <c r="BD64" s="28">
        <f t="shared" si="42"/>
        <v>0</v>
      </c>
      <c r="BE64" s="28">
        <v>0</v>
      </c>
      <c r="BF64" s="28">
        <f>64</f>
        <v>64</v>
      </c>
      <c r="BH64" s="14">
        <f t="shared" si="43"/>
        <v>0</v>
      </c>
      <c r="BI64" s="14">
        <f t="shared" si="44"/>
        <v>0</v>
      </c>
      <c r="BJ64" s="14">
        <f t="shared" si="45"/>
        <v>0</v>
      </c>
    </row>
    <row r="65" spans="1:62" x14ac:dyDescent="0.2">
      <c r="A65" s="4" t="s">
        <v>50</v>
      </c>
      <c r="B65" s="4" t="s">
        <v>193</v>
      </c>
      <c r="C65" s="113" t="s">
        <v>356</v>
      </c>
      <c r="D65" s="114"/>
      <c r="E65" s="114"/>
      <c r="F65" s="4" t="s">
        <v>488</v>
      </c>
      <c r="G65" s="59">
        <v>6.8380000000000001</v>
      </c>
      <c r="H65" s="14">
        <v>0</v>
      </c>
      <c r="I65" s="14">
        <f t="shared" si="24"/>
        <v>0</v>
      </c>
      <c r="J65" s="14">
        <f t="shared" si="25"/>
        <v>0</v>
      </c>
      <c r="K65" s="14">
        <f t="shared" si="26"/>
        <v>0</v>
      </c>
      <c r="L65" s="24" t="s">
        <v>505</v>
      </c>
      <c r="Z65" s="28">
        <f t="shared" si="27"/>
        <v>0</v>
      </c>
      <c r="AB65" s="28">
        <f t="shared" si="28"/>
        <v>0</v>
      </c>
      <c r="AC65" s="28">
        <f t="shared" si="29"/>
        <v>0</v>
      </c>
      <c r="AD65" s="28">
        <f t="shared" si="30"/>
        <v>0</v>
      </c>
      <c r="AE65" s="28">
        <f t="shared" si="31"/>
        <v>0</v>
      </c>
      <c r="AF65" s="28">
        <f t="shared" si="32"/>
        <v>0</v>
      </c>
      <c r="AG65" s="28">
        <f t="shared" si="33"/>
        <v>0</v>
      </c>
      <c r="AH65" s="28">
        <f t="shared" si="34"/>
        <v>0</v>
      </c>
      <c r="AI65" s="23" t="s">
        <v>515</v>
      </c>
      <c r="AJ65" s="14">
        <f t="shared" si="35"/>
        <v>0</v>
      </c>
      <c r="AK65" s="14">
        <f t="shared" si="36"/>
        <v>0</v>
      </c>
      <c r="AL65" s="14">
        <f t="shared" si="37"/>
        <v>0</v>
      </c>
      <c r="AN65" s="28">
        <v>21</v>
      </c>
      <c r="AO65" s="28">
        <f>H65*0.063472850678733</f>
        <v>0</v>
      </c>
      <c r="AP65" s="28">
        <f>H65*(1-0.063472850678733)</f>
        <v>0</v>
      </c>
      <c r="AQ65" s="24" t="s">
        <v>7</v>
      </c>
      <c r="AV65" s="28">
        <f t="shared" si="38"/>
        <v>0</v>
      </c>
      <c r="AW65" s="28">
        <f t="shared" si="39"/>
        <v>0</v>
      </c>
      <c r="AX65" s="28">
        <f t="shared" si="40"/>
        <v>0</v>
      </c>
      <c r="AY65" s="29" t="s">
        <v>524</v>
      </c>
      <c r="AZ65" s="29" t="s">
        <v>541</v>
      </c>
      <c r="BA65" s="23" t="s">
        <v>546</v>
      </c>
      <c r="BC65" s="28">
        <f t="shared" si="41"/>
        <v>0</v>
      </c>
      <c r="BD65" s="28">
        <f t="shared" si="42"/>
        <v>0</v>
      </c>
      <c r="BE65" s="28">
        <v>0</v>
      </c>
      <c r="BF65" s="28">
        <f>65</f>
        <v>65</v>
      </c>
      <c r="BH65" s="14">
        <f t="shared" si="43"/>
        <v>0</v>
      </c>
      <c r="BI65" s="14">
        <f t="shared" si="44"/>
        <v>0</v>
      </c>
      <c r="BJ65" s="14">
        <f t="shared" si="45"/>
        <v>0</v>
      </c>
    </row>
    <row r="66" spans="1:62" x14ac:dyDescent="0.2">
      <c r="A66" s="4" t="s">
        <v>51</v>
      </c>
      <c r="B66" s="4" t="s">
        <v>194</v>
      </c>
      <c r="C66" s="113" t="s">
        <v>357</v>
      </c>
      <c r="D66" s="114"/>
      <c r="E66" s="114"/>
      <c r="F66" s="4" t="s">
        <v>487</v>
      </c>
      <c r="G66" s="59">
        <v>17.904</v>
      </c>
      <c r="H66" s="14">
        <v>0</v>
      </c>
      <c r="I66" s="14">
        <f t="shared" si="24"/>
        <v>0</v>
      </c>
      <c r="J66" s="14">
        <f t="shared" si="25"/>
        <v>0</v>
      </c>
      <c r="K66" s="14">
        <f t="shared" si="26"/>
        <v>0</v>
      </c>
      <c r="L66" s="24" t="s">
        <v>505</v>
      </c>
      <c r="Z66" s="28">
        <f t="shared" si="27"/>
        <v>0</v>
      </c>
      <c r="AB66" s="28">
        <f t="shared" si="28"/>
        <v>0</v>
      </c>
      <c r="AC66" s="28">
        <f t="shared" si="29"/>
        <v>0</v>
      </c>
      <c r="AD66" s="28">
        <f t="shared" si="30"/>
        <v>0</v>
      </c>
      <c r="AE66" s="28">
        <f t="shared" si="31"/>
        <v>0</v>
      </c>
      <c r="AF66" s="28">
        <f t="shared" si="32"/>
        <v>0</v>
      </c>
      <c r="AG66" s="28">
        <f t="shared" si="33"/>
        <v>0</v>
      </c>
      <c r="AH66" s="28">
        <f t="shared" si="34"/>
        <v>0</v>
      </c>
      <c r="AI66" s="23" t="s">
        <v>515</v>
      </c>
      <c r="AJ66" s="14">
        <f t="shared" si="35"/>
        <v>0</v>
      </c>
      <c r="AK66" s="14">
        <f t="shared" si="36"/>
        <v>0</v>
      </c>
      <c r="AL66" s="14">
        <f t="shared" si="37"/>
        <v>0</v>
      </c>
      <c r="AN66" s="28">
        <v>21</v>
      </c>
      <c r="AO66" s="28">
        <f t="shared" ref="AO66:AO74" si="46">H66*0</f>
        <v>0</v>
      </c>
      <c r="AP66" s="28">
        <f t="shared" ref="AP66:AP74" si="47">H66*(1-0)</f>
        <v>0</v>
      </c>
      <c r="AQ66" s="24" t="s">
        <v>7</v>
      </c>
      <c r="AV66" s="28">
        <f t="shared" si="38"/>
        <v>0</v>
      </c>
      <c r="AW66" s="28">
        <f t="shared" si="39"/>
        <v>0</v>
      </c>
      <c r="AX66" s="28">
        <f t="shared" si="40"/>
        <v>0</v>
      </c>
      <c r="AY66" s="29" t="s">
        <v>524</v>
      </c>
      <c r="AZ66" s="29" t="s">
        <v>541</v>
      </c>
      <c r="BA66" s="23" t="s">
        <v>546</v>
      </c>
      <c r="BC66" s="28">
        <f t="shared" si="41"/>
        <v>0</v>
      </c>
      <c r="BD66" s="28">
        <f t="shared" si="42"/>
        <v>0</v>
      </c>
      <c r="BE66" s="28">
        <v>0</v>
      </c>
      <c r="BF66" s="28">
        <f>66</f>
        <v>66</v>
      </c>
      <c r="BH66" s="14">
        <f t="shared" si="43"/>
        <v>0</v>
      </c>
      <c r="BI66" s="14">
        <f t="shared" si="44"/>
        <v>0</v>
      </c>
      <c r="BJ66" s="14">
        <f t="shared" si="45"/>
        <v>0</v>
      </c>
    </row>
    <row r="67" spans="1:62" x14ac:dyDescent="0.2">
      <c r="A67" s="4" t="s">
        <v>52</v>
      </c>
      <c r="B67" s="4" t="s">
        <v>194</v>
      </c>
      <c r="C67" s="113" t="s">
        <v>358</v>
      </c>
      <c r="D67" s="114"/>
      <c r="E67" s="114"/>
      <c r="F67" s="4" t="s">
        <v>487</v>
      </c>
      <c r="G67" s="59">
        <v>7.4909999999999997</v>
      </c>
      <c r="H67" s="14">
        <v>0</v>
      </c>
      <c r="I67" s="14">
        <f t="shared" si="24"/>
        <v>0</v>
      </c>
      <c r="J67" s="14">
        <f t="shared" si="25"/>
        <v>0</v>
      </c>
      <c r="K67" s="14">
        <f t="shared" si="26"/>
        <v>0</v>
      </c>
      <c r="L67" s="24" t="s">
        <v>505</v>
      </c>
      <c r="Z67" s="28">
        <f t="shared" si="27"/>
        <v>0</v>
      </c>
      <c r="AB67" s="28">
        <f t="shared" si="28"/>
        <v>0</v>
      </c>
      <c r="AC67" s="28">
        <f t="shared" si="29"/>
        <v>0</v>
      </c>
      <c r="AD67" s="28">
        <f t="shared" si="30"/>
        <v>0</v>
      </c>
      <c r="AE67" s="28">
        <f t="shared" si="31"/>
        <v>0</v>
      </c>
      <c r="AF67" s="28">
        <f t="shared" si="32"/>
        <v>0</v>
      </c>
      <c r="AG67" s="28">
        <f t="shared" si="33"/>
        <v>0</v>
      </c>
      <c r="AH67" s="28">
        <f t="shared" si="34"/>
        <v>0</v>
      </c>
      <c r="AI67" s="23" t="s">
        <v>515</v>
      </c>
      <c r="AJ67" s="14">
        <f t="shared" si="35"/>
        <v>0</v>
      </c>
      <c r="AK67" s="14">
        <f t="shared" si="36"/>
        <v>0</v>
      </c>
      <c r="AL67" s="14">
        <f t="shared" si="37"/>
        <v>0</v>
      </c>
      <c r="AN67" s="28">
        <v>21</v>
      </c>
      <c r="AO67" s="28">
        <f t="shared" si="46"/>
        <v>0</v>
      </c>
      <c r="AP67" s="28">
        <f t="shared" si="47"/>
        <v>0</v>
      </c>
      <c r="AQ67" s="24" t="s">
        <v>7</v>
      </c>
      <c r="AV67" s="28">
        <f t="shared" si="38"/>
        <v>0</v>
      </c>
      <c r="AW67" s="28">
        <f t="shared" si="39"/>
        <v>0</v>
      </c>
      <c r="AX67" s="28">
        <f t="shared" si="40"/>
        <v>0</v>
      </c>
      <c r="AY67" s="29" t="s">
        <v>524</v>
      </c>
      <c r="AZ67" s="29" t="s">
        <v>541</v>
      </c>
      <c r="BA67" s="23" t="s">
        <v>546</v>
      </c>
      <c r="BC67" s="28">
        <f t="shared" si="41"/>
        <v>0</v>
      </c>
      <c r="BD67" s="28">
        <f t="shared" si="42"/>
        <v>0</v>
      </c>
      <c r="BE67" s="28">
        <v>0</v>
      </c>
      <c r="BF67" s="28">
        <f>67</f>
        <v>67</v>
      </c>
      <c r="BH67" s="14">
        <f t="shared" si="43"/>
        <v>0</v>
      </c>
      <c r="BI67" s="14">
        <f t="shared" si="44"/>
        <v>0</v>
      </c>
      <c r="BJ67" s="14">
        <f t="shared" si="45"/>
        <v>0</v>
      </c>
    </row>
    <row r="68" spans="1:62" x14ac:dyDescent="0.2">
      <c r="A68" s="4" t="s">
        <v>53</v>
      </c>
      <c r="B68" s="4" t="s">
        <v>194</v>
      </c>
      <c r="C68" s="113" t="s">
        <v>359</v>
      </c>
      <c r="D68" s="114"/>
      <c r="E68" s="114"/>
      <c r="F68" s="4" t="s">
        <v>487</v>
      </c>
      <c r="G68" s="59">
        <v>10.976000000000001</v>
      </c>
      <c r="H68" s="14">
        <v>0</v>
      </c>
      <c r="I68" s="14">
        <f t="shared" si="24"/>
        <v>0</v>
      </c>
      <c r="J68" s="14">
        <f t="shared" si="25"/>
        <v>0</v>
      </c>
      <c r="K68" s="14">
        <f t="shared" si="26"/>
        <v>0</v>
      </c>
      <c r="L68" s="24" t="s">
        <v>505</v>
      </c>
      <c r="Z68" s="28">
        <f t="shared" si="27"/>
        <v>0</v>
      </c>
      <c r="AB68" s="28">
        <f t="shared" si="28"/>
        <v>0</v>
      </c>
      <c r="AC68" s="28">
        <f t="shared" si="29"/>
        <v>0</v>
      </c>
      <c r="AD68" s="28">
        <f t="shared" si="30"/>
        <v>0</v>
      </c>
      <c r="AE68" s="28">
        <f t="shared" si="31"/>
        <v>0</v>
      </c>
      <c r="AF68" s="28">
        <f t="shared" si="32"/>
        <v>0</v>
      </c>
      <c r="AG68" s="28">
        <f t="shared" si="33"/>
        <v>0</v>
      </c>
      <c r="AH68" s="28">
        <f t="shared" si="34"/>
        <v>0</v>
      </c>
      <c r="AI68" s="23" t="s">
        <v>515</v>
      </c>
      <c r="AJ68" s="14">
        <f t="shared" si="35"/>
        <v>0</v>
      </c>
      <c r="AK68" s="14">
        <f t="shared" si="36"/>
        <v>0</v>
      </c>
      <c r="AL68" s="14">
        <f t="shared" si="37"/>
        <v>0</v>
      </c>
      <c r="AN68" s="28">
        <v>21</v>
      </c>
      <c r="AO68" s="28">
        <f t="shared" si="46"/>
        <v>0</v>
      </c>
      <c r="AP68" s="28">
        <f t="shared" si="47"/>
        <v>0</v>
      </c>
      <c r="AQ68" s="24" t="s">
        <v>7</v>
      </c>
      <c r="AV68" s="28">
        <f t="shared" si="38"/>
        <v>0</v>
      </c>
      <c r="AW68" s="28">
        <f t="shared" si="39"/>
        <v>0</v>
      </c>
      <c r="AX68" s="28">
        <f t="shared" si="40"/>
        <v>0</v>
      </c>
      <c r="AY68" s="29" t="s">
        <v>524</v>
      </c>
      <c r="AZ68" s="29" t="s">
        <v>541</v>
      </c>
      <c r="BA68" s="23" t="s">
        <v>546</v>
      </c>
      <c r="BC68" s="28">
        <f t="shared" si="41"/>
        <v>0</v>
      </c>
      <c r="BD68" s="28">
        <f t="shared" si="42"/>
        <v>0</v>
      </c>
      <c r="BE68" s="28">
        <v>0</v>
      </c>
      <c r="BF68" s="28">
        <f>68</f>
        <v>68</v>
      </c>
      <c r="BH68" s="14">
        <f t="shared" si="43"/>
        <v>0</v>
      </c>
      <c r="BI68" s="14">
        <f t="shared" si="44"/>
        <v>0</v>
      </c>
      <c r="BJ68" s="14">
        <f t="shared" si="45"/>
        <v>0</v>
      </c>
    </row>
    <row r="69" spans="1:62" x14ac:dyDescent="0.2">
      <c r="A69" s="4" t="s">
        <v>54</v>
      </c>
      <c r="B69" s="4" t="s">
        <v>195</v>
      </c>
      <c r="C69" s="113" t="s">
        <v>360</v>
      </c>
      <c r="D69" s="114"/>
      <c r="E69" s="114"/>
      <c r="F69" s="4" t="s">
        <v>487</v>
      </c>
      <c r="G69" s="59">
        <v>0.21</v>
      </c>
      <c r="H69" s="14">
        <v>0</v>
      </c>
      <c r="I69" s="14">
        <f t="shared" si="24"/>
        <v>0</v>
      </c>
      <c r="J69" s="14">
        <f t="shared" si="25"/>
        <v>0</v>
      </c>
      <c r="K69" s="14">
        <f t="shared" si="26"/>
        <v>0</v>
      </c>
      <c r="L69" s="24" t="s">
        <v>505</v>
      </c>
      <c r="Z69" s="28">
        <f t="shared" si="27"/>
        <v>0</v>
      </c>
      <c r="AB69" s="28">
        <f t="shared" si="28"/>
        <v>0</v>
      </c>
      <c r="AC69" s="28">
        <f t="shared" si="29"/>
        <v>0</v>
      </c>
      <c r="AD69" s="28">
        <f t="shared" si="30"/>
        <v>0</v>
      </c>
      <c r="AE69" s="28">
        <f t="shared" si="31"/>
        <v>0</v>
      </c>
      <c r="AF69" s="28">
        <f t="shared" si="32"/>
        <v>0</v>
      </c>
      <c r="AG69" s="28">
        <f t="shared" si="33"/>
        <v>0</v>
      </c>
      <c r="AH69" s="28">
        <f t="shared" si="34"/>
        <v>0</v>
      </c>
      <c r="AI69" s="23" t="s">
        <v>515</v>
      </c>
      <c r="AJ69" s="14">
        <f t="shared" si="35"/>
        <v>0</v>
      </c>
      <c r="AK69" s="14">
        <f t="shared" si="36"/>
        <v>0</v>
      </c>
      <c r="AL69" s="14">
        <f t="shared" si="37"/>
        <v>0</v>
      </c>
      <c r="AN69" s="28">
        <v>21</v>
      </c>
      <c r="AO69" s="28">
        <f t="shared" si="46"/>
        <v>0</v>
      </c>
      <c r="AP69" s="28">
        <f t="shared" si="47"/>
        <v>0</v>
      </c>
      <c r="AQ69" s="24" t="s">
        <v>7</v>
      </c>
      <c r="AV69" s="28">
        <f t="shared" si="38"/>
        <v>0</v>
      </c>
      <c r="AW69" s="28">
        <f t="shared" si="39"/>
        <v>0</v>
      </c>
      <c r="AX69" s="28">
        <f t="shared" si="40"/>
        <v>0</v>
      </c>
      <c r="AY69" s="29" t="s">
        <v>524</v>
      </c>
      <c r="AZ69" s="29" t="s">
        <v>541</v>
      </c>
      <c r="BA69" s="23" t="s">
        <v>546</v>
      </c>
      <c r="BC69" s="28">
        <f t="shared" si="41"/>
        <v>0</v>
      </c>
      <c r="BD69" s="28">
        <f t="shared" si="42"/>
        <v>0</v>
      </c>
      <c r="BE69" s="28">
        <v>0</v>
      </c>
      <c r="BF69" s="28">
        <f>69</f>
        <v>69</v>
      </c>
      <c r="BH69" s="14">
        <f t="shared" si="43"/>
        <v>0</v>
      </c>
      <c r="BI69" s="14">
        <f t="shared" si="44"/>
        <v>0</v>
      </c>
      <c r="BJ69" s="14">
        <f t="shared" si="45"/>
        <v>0</v>
      </c>
    </row>
    <row r="70" spans="1:62" x14ac:dyDescent="0.2">
      <c r="A70" s="4" t="s">
        <v>55</v>
      </c>
      <c r="B70" s="4" t="s">
        <v>196</v>
      </c>
      <c r="C70" s="113" t="s">
        <v>361</v>
      </c>
      <c r="D70" s="114"/>
      <c r="E70" s="114"/>
      <c r="F70" s="4" t="s">
        <v>487</v>
      </c>
      <c r="G70" s="59">
        <v>35.345999999999997</v>
      </c>
      <c r="H70" s="14">
        <v>0</v>
      </c>
      <c r="I70" s="14">
        <f t="shared" si="24"/>
        <v>0</v>
      </c>
      <c r="J70" s="14">
        <f t="shared" si="25"/>
        <v>0</v>
      </c>
      <c r="K70" s="14">
        <f t="shared" si="26"/>
        <v>0</v>
      </c>
      <c r="L70" s="24" t="s">
        <v>505</v>
      </c>
      <c r="Z70" s="28">
        <f t="shared" si="27"/>
        <v>0</v>
      </c>
      <c r="AB70" s="28">
        <f t="shared" si="28"/>
        <v>0</v>
      </c>
      <c r="AC70" s="28">
        <f t="shared" si="29"/>
        <v>0</v>
      </c>
      <c r="AD70" s="28">
        <f t="shared" si="30"/>
        <v>0</v>
      </c>
      <c r="AE70" s="28">
        <f t="shared" si="31"/>
        <v>0</v>
      </c>
      <c r="AF70" s="28">
        <f t="shared" si="32"/>
        <v>0</v>
      </c>
      <c r="AG70" s="28">
        <f t="shared" si="33"/>
        <v>0</v>
      </c>
      <c r="AH70" s="28">
        <f t="shared" si="34"/>
        <v>0</v>
      </c>
      <c r="AI70" s="23" t="s">
        <v>515</v>
      </c>
      <c r="AJ70" s="14">
        <f t="shared" si="35"/>
        <v>0</v>
      </c>
      <c r="AK70" s="14">
        <f t="shared" si="36"/>
        <v>0</v>
      </c>
      <c r="AL70" s="14">
        <f t="shared" si="37"/>
        <v>0</v>
      </c>
      <c r="AN70" s="28">
        <v>21</v>
      </c>
      <c r="AO70" s="28">
        <f t="shared" si="46"/>
        <v>0</v>
      </c>
      <c r="AP70" s="28">
        <f t="shared" si="47"/>
        <v>0</v>
      </c>
      <c r="AQ70" s="24" t="s">
        <v>7</v>
      </c>
      <c r="AV70" s="28">
        <f t="shared" si="38"/>
        <v>0</v>
      </c>
      <c r="AW70" s="28">
        <f t="shared" si="39"/>
        <v>0</v>
      </c>
      <c r="AX70" s="28">
        <f t="shared" si="40"/>
        <v>0</v>
      </c>
      <c r="AY70" s="29" t="s">
        <v>524</v>
      </c>
      <c r="AZ70" s="29" t="s">
        <v>541</v>
      </c>
      <c r="BA70" s="23" t="s">
        <v>546</v>
      </c>
      <c r="BC70" s="28">
        <f t="shared" si="41"/>
        <v>0</v>
      </c>
      <c r="BD70" s="28">
        <f t="shared" si="42"/>
        <v>0</v>
      </c>
      <c r="BE70" s="28">
        <v>0</v>
      </c>
      <c r="BF70" s="28">
        <f>70</f>
        <v>70</v>
      </c>
      <c r="BH70" s="14">
        <f t="shared" si="43"/>
        <v>0</v>
      </c>
      <c r="BI70" s="14">
        <f t="shared" si="44"/>
        <v>0</v>
      </c>
      <c r="BJ70" s="14">
        <f t="shared" si="45"/>
        <v>0</v>
      </c>
    </row>
    <row r="71" spans="1:62" x14ac:dyDescent="0.2">
      <c r="A71" s="4" t="s">
        <v>56</v>
      </c>
      <c r="B71" s="4" t="s">
        <v>197</v>
      </c>
      <c r="C71" s="113" t="s">
        <v>362</v>
      </c>
      <c r="D71" s="114"/>
      <c r="E71" s="114"/>
      <c r="F71" s="4" t="s">
        <v>487</v>
      </c>
      <c r="G71" s="59">
        <v>7.1260000000000003</v>
      </c>
      <c r="H71" s="14">
        <v>0</v>
      </c>
      <c r="I71" s="14">
        <f t="shared" si="24"/>
        <v>0</v>
      </c>
      <c r="J71" s="14">
        <f t="shared" si="25"/>
        <v>0</v>
      </c>
      <c r="K71" s="14">
        <f t="shared" si="26"/>
        <v>0</v>
      </c>
      <c r="L71" s="24" t="s">
        <v>505</v>
      </c>
      <c r="Z71" s="28">
        <f t="shared" si="27"/>
        <v>0</v>
      </c>
      <c r="AB71" s="28">
        <f t="shared" si="28"/>
        <v>0</v>
      </c>
      <c r="AC71" s="28">
        <f t="shared" si="29"/>
        <v>0</v>
      </c>
      <c r="AD71" s="28">
        <f t="shared" si="30"/>
        <v>0</v>
      </c>
      <c r="AE71" s="28">
        <f t="shared" si="31"/>
        <v>0</v>
      </c>
      <c r="AF71" s="28">
        <f t="shared" si="32"/>
        <v>0</v>
      </c>
      <c r="AG71" s="28">
        <f t="shared" si="33"/>
        <v>0</v>
      </c>
      <c r="AH71" s="28">
        <f t="shared" si="34"/>
        <v>0</v>
      </c>
      <c r="AI71" s="23" t="s">
        <v>515</v>
      </c>
      <c r="AJ71" s="14">
        <f t="shared" si="35"/>
        <v>0</v>
      </c>
      <c r="AK71" s="14">
        <f t="shared" si="36"/>
        <v>0</v>
      </c>
      <c r="AL71" s="14">
        <f t="shared" si="37"/>
        <v>0</v>
      </c>
      <c r="AN71" s="28">
        <v>21</v>
      </c>
      <c r="AO71" s="28">
        <f t="shared" si="46"/>
        <v>0</v>
      </c>
      <c r="AP71" s="28">
        <f t="shared" si="47"/>
        <v>0</v>
      </c>
      <c r="AQ71" s="24" t="s">
        <v>7</v>
      </c>
      <c r="AV71" s="28">
        <f t="shared" si="38"/>
        <v>0</v>
      </c>
      <c r="AW71" s="28">
        <f t="shared" si="39"/>
        <v>0</v>
      </c>
      <c r="AX71" s="28">
        <f t="shared" si="40"/>
        <v>0</v>
      </c>
      <c r="AY71" s="29" t="s">
        <v>524</v>
      </c>
      <c r="AZ71" s="29" t="s">
        <v>541</v>
      </c>
      <c r="BA71" s="23" t="s">
        <v>546</v>
      </c>
      <c r="BC71" s="28">
        <f t="shared" si="41"/>
        <v>0</v>
      </c>
      <c r="BD71" s="28">
        <f t="shared" si="42"/>
        <v>0</v>
      </c>
      <c r="BE71" s="28">
        <v>0</v>
      </c>
      <c r="BF71" s="28">
        <f>71</f>
        <v>71</v>
      </c>
      <c r="BH71" s="14">
        <f t="shared" si="43"/>
        <v>0</v>
      </c>
      <c r="BI71" s="14">
        <f t="shared" si="44"/>
        <v>0</v>
      </c>
      <c r="BJ71" s="14">
        <f t="shared" si="45"/>
        <v>0</v>
      </c>
    </row>
    <row r="72" spans="1:62" x14ac:dyDescent="0.2">
      <c r="A72" s="4" t="s">
        <v>57</v>
      </c>
      <c r="B72" s="4" t="s">
        <v>198</v>
      </c>
      <c r="C72" s="113" t="s">
        <v>363</v>
      </c>
      <c r="D72" s="114"/>
      <c r="E72" s="114"/>
      <c r="F72" s="4" t="s">
        <v>487</v>
      </c>
      <c r="G72" s="59">
        <v>4.3899999999999997</v>
      </c>
      <c r="H72" s="14">
        <v>0</v>
      </c>
      <c r="I72" s="14">
        <f t="shared" si="24"/>
        <v>0</v>
      </c>
      <c r="J72" s="14">
        <f t="shared" si="25"/>
        <v>0</v>
      </c>
      <c r="K72" s="14">
        <f t="shared" si="26"/>
        <v>0</v>
      </c>
      <c r="L72" s="24" t="s">
        <v>505</v>
      </c>
      <c r="Z72" s="28">
        <f t="shared" si="27"/>
        <v>0</v>
      </c>
      <c r="AB72" s="28">
        <f t="shared" si="28"/>
        <v>0</v>
      </c>
      <c r="AC72" s="28">
        <f t="shared" si="29"/>
        <v>0</v>
      </c>
      <c r="AD72" s="28">
        <f t="shared" si="30"/>
        <v>0</v>
      </c>
      <c r="AE72" s="28">
        <f t="shared" si="31"/>
        <v>0</v>
      </c>
      <c r="AF72" s="28">
        <f t="shared" si="32"/>
        <v>0</v>
      </c>
      <c r="AG72" s="28">
        <f t="shared" si="33"/>
        <v>0</v>
      </c>
      <c r="AH72" s="28">
        <f t="shared" si="34"/>
        <v>0</v>
      </c>
      <c r="AI72" s="23" t="s">
        <v>515</v>
      </c>
      <c r="AJ72" s="14">
        <f t="shared" si="35"/>
        <v>0</v>
      </c>
      <c r="AK72" s="14">
        <f t="shared" si="36"/>
        <v>0</v>
      </c>
      <c r="AL72" s="14">
        <f t="shared" si="37"/>
        <v>0</v>
      </c>
      <c r="AN72" s="28">
        <v>21</v>
      </c>
      <c r="AO72" s="28">
        <f t="shared" si="46"/>
        <v>0</v>
      </c>
      <c r="AP72" s="28">
        <f t="shared" si="47"/>
        <v>0</v>
      </c>
      <c r="AQ72" s="24" t="s">
        <v>7</v>
      </c>
      <c r="AV72" s="28">
        <f t="shared" si="38"/>
        <v>0</v>
      </c>
      <c r="AW72" s="28">
        <f t="shared" si="39"/>
        <v>0</v>
      </c>
      <c r="AX72" s="28">
        <f t="shared" si="40"/>
        <v>0</v>
      </c>
      <c r="AY72" s="29" t="s">
        <v>524</v>
      </c>
      <c r="AZ72" s="29" t="s">
        <v>541</v>
      </c>
      <c r="BA72" s="23" t="s">
        <v>546</v>
      </c>
      <c r="BC72" s="28">
        <f t="shared" si="41"/>
        <v>0</v>
      </c>
      <c r="BD72" s="28">
        <f t="shared" si="42"/>
        <v>0</v>
      </c>
      <c r="BE72" s="28">
        <v>0</v>
      </c>
      <c r="BF72" s="28">
        <f>72</f>
        <v>72</v>
      </c>
      <c r="BH72" s="14">
        <f t="shared" si="43"/>
        <v>0</v>
      </c>
      <c r="BI72" s="14">
        <f t="shared" si="44"/>
        <v>0</v>
      </c>
      <c r="BJ72" s="14">
        <f t="shared" si="45"/>
        <v>0</v>
      </c>
    </row>
    <row r="73" spans="1:62" x14ac:dyDescent="0.2">
      <c r="A73" s="4" t="s">
        <v>58</v>
      </c>
      <c r="B73" s="4" t="s">
        <v>199</v>
      </c>
      <c r="C73" s="113" t="s">
        <v>364</v>
      </c>
      <c r="D73" s="114"/>
      <c r="E73" s="114"/>
      <c r="F73" s="4" t="s">
        <v>487</v>
      </c>
      <c r="G73" s="59">
        <v>3.653</v>
      </c>
      <c r="H73" s="14">
        <v>0</v>
      </c>
      <c r="I73" s="14">
        <f t="shared" si="24"/>
        <v>0</v>
      </c>
      <c r="J73" s="14">
        <f t="shared" si="25"/>
        <v>0</v>
      </c>
      <c r="K73" s="14">
        <f t="shared" si="26"/>
        <v>0</v>
      </c>
      <c r="L73" s="24" t="s">
        <v>505</v>
      </c>
      <c r="Z73" s="28">
        <f t="shared" si="27"/>
        <v>0</v>
      </c>
      <c r="AB73" s="28">
        <f t="shared" si="28"/>
        <v>0</v>
      </c>
      <c r="AC73" s="28">
        <f t="shared" si="29"/>
        <v>0</v>
      </c>
      <c r="AD73" s="28">
        <f t="shared" si="30"/>
        <v>0</v>
      </c>
      <c r="AE73" s="28">
        <f t="shared" si="31"/>
        <v>0</v>
      </c>
      <c r="AF73" s="28">
        <f t="shared" si="32"/>
        <v>0</v>
      </c>
      <c r="AG73" s="28">
        <f t="shared" si="33"/>
        <v>0</v>
      </c>
      <c r="AH73" s="28">
        <f t="shared" si="34"/>
        <v>0</v>
      </c>
      <c r="AI73" s="23" t="s">
        <v>515</v>
      </c>
      <c r="AJ73" s="14">
        <f t="shared" si="35"/>
        <v>0</v>
      </c>
      <c r="AK73" s="14">
        <f t="shared" si="36"/>
        <v>0</v>
      </c>
      <c r="AL73" s="14">
        <f t="shared" si="37"/>
        <v>0</v>
      </c>
      <c r="AN73" s="28">
        <v>21</v>
      </c>
      <c r="AO73" s="28">
        <f t="shared" si="46"/>
        <v>0</v>
      </c>
      <c r="AP73" s="28">
        <f t="shared" si="47"/>
        <v>0</v>
      </c>
      <c r="AQ73" s="24" t="s">
        <v>7</v>
      </c>
      <c r="AV73" s="28">
        <f t="shared" si="38"/>
        <v>0</v>
      </c>
      <c r="AW73" s="28">
        <f t="shared" si="39"/>
        <v>0</v>
      </c>
      <c r="AX73" s="28">
        <f t="shared" si="40"/>
        <v>0</v>
      </c>
      <c r="AY73" s="29" t="s">
        <v>524</v>
      </c>
      <c r="AZ73" s="29" t="s">
        <v>541</v>
      </c>
      <c r="BA73" s="23" t="s">
        <v>546</v>
      </c>
      <c r="BC73" s="28">
        <f t="shared" si="41"/>
        <v>0</v>
      </c>
      <c r="BD73" s="28">
        <f t="shared" si="42"/>
        <v>0</v>
      </c>
      <c r="BE73" s="28">
        <v>0</v>
      </c>
      <c r="BF73" s="28">
        <f>73</f>
        <v>73</v>
      </c>
      <c r="BH73" s="14">
        <f t="shared" si="43"/>
        <v>0</v>
      </c>
      <c r="BI73" s="14">
        <f t="shared" si="44"/>
        <v>0</v>
      </c>
      <c r="BJ73" s="14">
        <f t="shared" si="45"/>
        <v>0</v>
      </c>
    </row>
    <row r="74" spans="1:62" x14ac:dyDescent="0.2">
      <c r="A74" s="4" t="s">
        <v>59</v>
      </c>
      <c r="B74" s="4" t="s">
        <v>200</v>
      </c>
      <c r="C74" s="113" t="s">
        <v>365</v>
      </c>
      <c r="D74" s="114"/>
      <c r="E74" s="114"/>
      <c r="F74" s="4" t="s">
        <v>487</v>
      </c>
      <c r="G74" s="59">
        <v>87.096000000000004</v>
      </c>
      <c r="H74" s="14">
        <v>0</v>
      </c>
      <c r="I74" s="14">
        <f t="shared" si="24"/>
        <v>0</v>
      </c>
      <c r="J74" s="14">
        <f t="shared" si="25"/>
        <v>0</v>
      </c>
      <c r="K74" s="14">
        <f t="shared" si="26"/>
        <v>0</v>
      </c>
      <c r="L74" s="24" t="s">
        <v>505</v>
      </c>
      <c r="Z74" s="28">
        <f t="shared" si="27"/>
        <v>0</v>
      </c>
      <c r="AB74" s="28">
        <f t="shared" si="28"/>
        <v>0</v>
      </c>
      <c r="AC74" s="28">
        <f t="shared" si="29"/>
        <v>0</v>
      </c>
      <c r="AD74" s="28">
        <f t="shared" si="30"/>
        <v>0</v>
      </c>
      <c r="AE74" s="28">
        <f t="shared" si="31"/>
        <v>0</v>
      </c>
      <c r="AF74" s="28">
        <f t="shared" si="32"/>
        <v>0</v>
      </c>
      <c r="AG74" s="28">
        <f t="shared" si="33"/>
        <v>0</v>
      </c>
      <c r="AH74" s="28">
        <f t="shared" si="34"/>
        <v>0</v>
      </c>
      <c r="AI74" s="23" t="s">
        <v>515</v>
      </c>
      <c r="AJ74" s="14">
        <f t="shared" si="35"/>
        <v>0</v>
      </c>
      <c r="AK74" s="14">
        <f t="shared" si="36"/>
        <v>0</v>
      </c>
      <c r="AL74" s="14">
        <f t="shared" si="37"/>
        <v>0</v>
      </c>
      <c r="AN74" s="28">
        <v>21</v>
      </c>
      <c r="AO74" s="28">
        <f t="shared" si="46"/>
        <v>0</v>
      </c>
      <c r="AP74" s="28">
        <f t="shared" si="47"/>
        <v>0</v>
      </c>
      <c r="AQ74" s="24" t="s">
        <v>7</v>
      </c>
      <c r="AV74" s="28">
        <f t="shared" si="38"/>
        <v>0</v>
      </c>
      <c r="AW74" s="28">
        <f t="shared" si="39"/>
        <v>0</v>
      </c>
      <c r="AX74" s="28">
        <f t="shared" si="40"/>
        <v>0</v>
      </c>
      <c r="AY74" s="29" t="s">
        <v>524</v>
      </c>
      <c r="AZ74" s="29" t="s">
        <v>541</v>
      </c>
      <c r="BA74" s="23" t="s">
        <v>546</v>
      </c>
      <c r="BC74" s="28">
        <f t="shared" si="41"/>
        <v>0</v>
      </c>
      <c r="BD74" s="28">
        <f t="shared" si="42"/>
        <v>0</v>
      </c>
      <c r="BE74" s="28">
        <v>0</v>
      </c>
      <c r="BF74" s="28">
        <f>74</f>
        <v>74</v>
      </c>
      <c r="BH74" s="14">
        <f t="shared" si="43"/>
        <v>0</v>
      </c>
      <c r="BI74" s="14">
        <f t="shared" si="44"/>
        <v>0</v>
      </c>
      <c r="BJ74" s="14">
        <f t="shared" si="45"/>
        <v>0</v>
      </c>
    </row>
    <row r="75" spans="1:62" x14ac:dyDescent="0.2">
      <c r="B75" s="11"/>
      <c r="C75" s="118" t="s">
        <v>366</v>
      </c>
      <c r="D75" s="119"/>
      <c r="E75" s="119"/>
      <c r="F75" s="119"/>
      <c r="G75" s="119"/>
      <c r="H75" s="119"/>
      <c r="I75" s="119"/>
      <c r="J75" s="119"/>
      <c r="K75" s="119"/>
      <c r="L75" s="119"/>
    </row>
    <row r="76" spans="1:62" x14ac:dyDescent="0.2">
      <c r="A76" s="4" t="s">
        <v>60</v>
      </c>
      <c r="B76" s="4" t="s">
        <v>201</v>
      </c>
      <c r="C76" s="113" t="s">
        <v>367</v>
      </c>
      <c r="D76" s="114"/>
      <c r="E76" s="114"/>
      <c r="F76" s="4" t="s">
        <v>485</v>
      </c>
      <c r="G76" s="59">
        <v>97.3</v>
      </c>
      <c r="H76" s="14">
        <v>0</v>
      </c>
      <c r="I76" s="14">
        <f t="shared" ref="I76:I95" si="48">G76*AO76</f>
        <v>0</v>
      </c>
      <c r="J76" s="14">
        <f t="shared" ref="J76:J95" si="49">G76*AP76</f>
        <v>0</v>
      </c>
      <c r="K76" s="14">
        <f t="shared" ref="K76:K95" si="50">G76*H76</f>
        <v>0</v>
      </c>
      <c r="L76" s="24" t="s">
        <v>505</v>
      </c>
      <c r="Z76" s="28">
        <f t="shared" ref="Z76:Z95" si="51">IF(AQ76="5",BJ76,0)</f>
        <v>0</v>
      </c>
      <c r="AB76" s="28">
        <f t="shared" ref="AB76:AB95" si="52">IF(AQ76="1",BH76,0)</f>
        <v>0</v>
      </c>
      <c r="AC76" s="28">
        <f t="shared" ref="AC76:AC95" si="53">IF(AQ76="1",BI76,0)</f>
        <v>0</v>
      </c>
      <c r="AD76" s="28">
        <f t="shared" ref="AD76:AD95" si="54">IF(AQ76="7",BH76,0)</f>
        <v>0</v>
      </c>
      <c r="AE76" s="28">
        <f t="shared" ref="AE76:AE95" si="55">IF(AQ76="7",BI76,0)</f>
        <v>0</v>
      </c>
      <c r="AF76" s="28">
        <f t="shared" ref="AF76:AF95" si="56">IF(AQ76="2",BH76,0)</f>
        <v>0</v>
      </c>
      <c r="AG76" s="28">
        <f t="shared" ref="AG76:AG95" si="57">IF(AQ76="2",BI76,0)</f>
        <v>0</v>
      </c>
      <c r="AH76" s="28">
        <f t="shared" ref="AH76:AH95" si="58">IF(AQ76="0",BJ76,0)</f>
        <v>0</v>
      </c>
      <c r="AI76" s="23" t="s">
        <v>515</v>
      </c>
      <c r="AJ76" s="14">
        <f t="shared" ref="AJ76:AJ95" si="59">IF(AN76=0,K76,0)</f>
        <v>0</v>
      </c>
      <c r="AK76" s="14">
        <f t="shared" ref="AK76:AK95" si="60">IF(AN76=15,K76,0)</f>
        <v>0</v>
      </c>
      <c r="AL76" s="14">
        <f t="shared" ref="AL76:AL95" si="61">IF(AN76=21,K76,0)</f>
        <v>0</v>
      </c>
      <c r="AN76" s="28">
        <v>21</v>
      </c>
      <c r="AO76" s="28">
        <f t="shared" ref="AO76:AO82" si="62">H76*0</f>
        <v>0</v>
      </c>
      <c r="AP76" s="28">
        <f t="shared" ref="AP76:AP82" si="63">H76*(1-0)</f>
        <v>0</v>
      </c>
      <c r="AQ76" s="24" t="s">
        <v>7</v>
      </c>
      <c r="AV76" s="28">
        <f t="shared" ref="AV76:AV95" si="64">AW76+AX76</f>
        <v>0</v>
      </c>
      <c r="AW76" s="28">
        <f t="shared" ref="AW76:AW95" si="65">G76*AO76</f>
        <v>0</v>
      </c>
      <c r="AX76" s="28">
        <f t="shared" ref="AX76:AX95" si="66">G76*AP76</f>
        <v>0</v>
      </c>
      <c r="AY76" s="29" t="s">
        <v>524</v>
      </c>
      <c r="AZ76" s="29" t="s">
        <v>541</v>
      </c>
      <c r="BA76" s="23" t="s">
        <v>546</v>
      </c>
      <c r="BC76" s="28">
        <f t="shared" ref="BC76:BC95" si="67">AW76+AX76</f>
        <v>0</v>
      </c>
      <c r="BD76" s="28">
        <f t="shared" ref="BD76:BD95" si="68">H76/(100-BE76)*100</f>
        <v>0</v>
      </c>
      <c r="BE76" s="28">
        <v>0</v>
      </c>
      <c r="BF76" s="28">
        <f>76</f>
        <v>76</v>
      </c>
      <c r="BH76" s="14">
        <f t="shared" ref="BH76:BH95" si="69">G76*AO76</f>
        <v>0</v>
      </c>
      <c r="BI76" s="14">
        <f t="shared" ref="BI76:BI95" si="70">G76*AP76</f>
        <v>0</v>
      </c>
      <c r="BJ76" s="14">
        <f t="shared" ref="BJ76:BJ95" si="71">G76*H76</f>
        <v>0</v>
      </c>
    </row>
    <row r="77" spans="1:62" x14ac:dyDescent="0.2">
      <c r="A77" s="4" t="s">
        <v>61</v>
      </c>
      <c r="B77" s="4" t="s">
        <v>202</v>
      </c>
      <c r="C77" s="113" t="s">
        <v>368</v>
      </c>
      <c r="D77" s="114"/>
      <c r="E77" s="114"/>
      <c r="F77" s="4" t="s">
        <v>486</v>
      </c>
      <c r="G77" s="59">
        <v>74.45</v>
      </c>
      <c r="H77" s="14">
        <v>0</v>
      </c>
      <c r="I77" s="14">
        <f t="shared" si="48"/>
        <v>0</v>
      </c>
      <c r="J77" s="14">
        <f t="shared" si="49"/>
        <v>0</v>
      </c>
      <c r="K77" s="14">
        <f t="shared" si="50"/>
        <v>0</v>
      </c>
      <c r="L77" s="24" t="s">
        <v>505</v>
      </c>
      <c r="Z77" s="28">
        <f t="shared" si="51"/>
        <v>0</v>
      </c>
      <c r="AB77" s="28">
        <f t="shared" si="52"/>
        <v>0</v>
      </c>
      <c r="AC77" s="28">
        <f t="shared" si="53"/>
        <v>0</v>
      </c>
      <c r="AD77" s="28">
        <f t="shared" si="54"/>
        <v>0</v>
      </c>
      <c r="AE77" s="28">
        <f t="shared" si="55"/>
        <v>0</v>
      </c>
      <c r="AF77" s="28">
        <f t="shared" si="56"/>
        <v>0</v>
      </c>
      <c r="AG77" s="28">
        <f t="shared" si="57"/>
        <v>0</v>
      </c>
      <c r="AH77" s="28">
        <f t="shared" si="58"/>
        <v>0</v>
      </c>
      <c r="AI77" s="23" t="s">
        <v>515</v>
      </c>
      <c r="AJ77" s="14">
        <f t="shared" si="59"/>
        <v>0</v>
      </c>
      <c r="AK77" s="14">
        <f t="shared" si="60"/>
        <v>0</v>
      </c>
      <c r="AL77" s="14">
        <f t="shared" si="61"/>
        <v>0</v>
      </c>
      <c r="AN77" s="28">
        <v>21</v>
      </c>
      <c r="AO77" s="28">
        <f t="shared" si="62"/>
        <v>0</v>
      </c>
      <c r="AP77" s="28">
        <f t="shared" si="63"/>
        <v>0</v>
      </c>
      <c r="AQ77" s="24" t="s">
        <v>7</v>
      </c>
      <c r="AV77" s="28">
        <f t="shared" si="64"/>
        <v>0</v>
      </c>
      <c r="AW77" s="28">
        <f t="shared" si="65"/>
        <v>0</v>
      </c>
      <c r="AX77" s="28">
        <f t="shared" si="66"/>
        <v>0</v>
      </c>
      <c r="AY77" s="29" t="s">
        <v>524</v>
      </c>
      <c r="AZ77" s="29" t="s">
        <v>541</v>
      </c>
      <c r="BA77" s="23" t="s">
        <v>546</v>
      </c>
      <c r="BC77" s="28">
        <f t="shared" si="67"/>
        <v>0</v>
      </c>
      <c r="BD77" s="28">
        <f t="shared" si="68"/>
        <v>0</v>
      </c>
      <c r="BE77" s="28">
        <v>0</v>
      </c>
      <c r="BF77" s="28">
        <f>77</f>
        <v>77</v>
      </c>
      <c r="BH77" s="14">
        <f t="shared" si="69"/>
        <v>0</v>
      </c>
      <c r="BI77" s="14">
        <f t="shared" si="70"/>
        <v>0</v>
      </c>
      <c r="BJ77" s="14">
        <f t="shared" si="71"/>
        <v>0</v>
      </c>
    </row>
    <row r="78" spans="1:62" x14ac:dyDescent="0.2">
      <c r="A78" s="4" t="s">
        <v>62</v>
      </c>
      <c r="B78" s="4" t="s">
        <v>203</v>
      </c>
      <c r="C78" s="113" t="s">
        <v>369</v>
      </c>
      <c r="D78" s="114"/>
      <c r="E78" s="114"/>
      <c r="F78" s="4" t="s">
        <v>486</v>
      </c>
      <c r="G78" s="59">
        <v>4.1909999999999998</v>
      </c>
      <c r="H78" s="14">
        <v>0</v>
      </c>
      <c r="I78" s="14">
        <f t="shared" si="48"/>
        <v>0</v>
      </c>
      <c r="J78" s="14">
        <f t="shared" si="49"/>
        <v>0</v>
      </c>
      <c r="K78" s="14">
        <f t="shared" si="50"/>
        <v>0</v>
      </c>
      <c r="L78" s="24" t="s">
        <v>505</v>
      </c>
      <c r="Z78" s="28">
        <f t="shared" si="51"/>
        <v>0</v>
      </c>
      <c r="AB78" s="28">
        <f t="shared" si="52"/>
        <v>0</v>
      </c>
      <c r="AC78" s="28">
        <f t="shared" si="53"/>
        <v>0</v>
      </c>
      <c r="AD78" s="28">
        <f t="shared" si="54"/>
        <v>0</v>
      </c>
      <c r="AE78" s="28">
        <f t="shared" si="55"/>
        <v>0</v>
      </c>
      <c r="AF78" s="28">
        <f t="shared" si="56"/>
        <v>0</v>
      </c>
      <c r="AG78" s="28">
        <f t="shared" si="57"/>
        <v>0</v>
      </c>
      <c r="AH78" s="28">
        <f t="shared" si="58"/>
        <v>0</v>
      </c>
      <c r="AI78" s="23" t="s">
        <v>515</v>
      </c>
      <c r="AJ78" s="14">
        <f t="shared" si="59"/>
        <v>0</v>
      </c>
      <c r="AK78" s="14">
        <f t="shared" si="60"/>
        <v>0</v>
      </c>
      <c r="AL78" s="14">
        <f t="shared" si="61"/>
        <v>0</v>
      </c>
      <c r="AN78" s="28">
        <v>21</v>
      </c>
      <c r="AO78" s="28">
        <f t="shared" si="62"/>
        <v>0</v>
      </c>
      <c r="AP78" s="28">
        <f t="shared" si="63"/>
        <v>0</v>
      </c>
      <c r="AQ78" s="24" t="s">
        <v>7</v>
      </c>
      <c r="AV78" s="28">
        <f t="shared" si="64"/>
        <v>0</v>
      </c>
      <c r="AW78" s="28">
        <f t="shared" si="65"/>
        <v>0</v>
      </c>
      <c r="AX78" s="28">
        <f t="shared" si="66"/>
        <v>0</v>
      </c>
      <c r="AY78" s="29" t="s">
        <v>524</v>
      </c>
      <c r="AZ78" s="29" t="s">
        <v>541</v>
      </c>
      <c r="BA78" s="23" t="s">
        <v>546</v>
      </c>
      <c r="BC78" s="28">
        <f t="shared" si="67"/>
        <v>0</v>
      </c>
      <c r="BD78" s="28">
        <f t="shared" si="68"/>
        <v>0</v>
      </c>
      <c r="BE78" s="28">
        <v>0</v>
      </c>
      <c r="BF78" s="28">
        <f>78</f>
        <v>78</v>
      </c>
      <c r="BH78" s="14">
        <f t="shared" si="69"/>
        <v>0</v>
      </c>
      <c r="BI78" s="14">
        <f t="shared" si="70"/>
        <v>0</v>
      </c>
      <c r="BJ78" s="14">
        <f t="shared" si="71"/>
        <v>0</v>
      </c>
    </row>
    <row r="79" spans="1:62" x14ac:dyDescent="0.2">
      <c r="A79" s="4" t="s">
        <v>63</v>
      </c>
      <c r="B79" s="4" t="s">
        <v>204</v>
      </c>
      <c r="C79" s="113" t="s">
        <v>370</v>
      </c>
      <c r="D79" s="114"/>
      <c r="E79" s="114"/>
      <c r="F79" s="4" t="s">
        <v>487</v>
      </c>
      <c r="G79" s="59">
        <v>97.346999999999994</v>
      </c>
      <c r="H79" s="14">
        <v>0</v>
      </c>
      <c r="I79" s="14">
        <f t="shared" si="48"/>
        <v>0</v>
      </c>
      <c r="J79" s="14">
        <f t="shared" si="49"/>
        <v>0</v>
      </c>
      <c r="K79" s="14">
        <f t="shared" si="50"/>
        <v>0</v>
      </c>
      <c r="L79" s="24" t="s">
        <v>505</v>
      </c>
      <c r="Z79" s="28">
        <f t="shared" si="51"/>
        <v>0</v>
      </c>
      <c r="AB79" s="28">
        <f t="shared" si="52"/>
        <v>0</v>
      </c>
      <c r="AC79" s="28">
        <f t="shared" si="53"/>
        <v>0</v>
      </c>
      <c r="AD79" s="28">
        <f t="shared" si="54"/>
        <v>0</v>
      </c>
      <c r="AE79" s="28">
        <f t="shared" si="55"/>
        <v>0</v>
      </c>
      <c r="AF79" s="28">
        <f t="shared" si="56"/>
        <v>0</v>
      </c>
      <c r="AG79" s="28">
        <f t="shared" si="57"/>
        <v>0</v>
      </c>
      <c r="AH79" s="28">
        <f t="shared" si="58"/>
        <v>0</v>
      </c>
      <c r="AI79" s="23" t="s">
        <v>515</v>
      </c>
      <c r="AJ79" s="14">
        <f t="shared" si="59"/>
        <v>0</v>
      </c>
      <c r="AK79" s="14">
        <f t="shared" si="60"/>
        <v>0</v>
      </c>
      <c r="AL79" s="14">
        <f t="shared" si="61"/>
        <v>0</v>
      </c>
      <c r="AN79" s="28">
        <v>21</v>
      </c>
      <c r="AO79" s="28">
        <f t="shared" si="62"/>
        <v>0</v>
      </c>
      <c r="AP79" s="28">
        <f t="shared" si="63"/>
        <v>0</v>
      </c>
      <c r="AQ79" s="24" t="s">
        <v>7</v>
      </c>
      <c r="AV79" s="28">
        <f t="shared" si="64"/>
        <v>0</v>
      </c>
      <c r="AW79" s="28">
        <f t="shared" si="65"/>
        <v>0</v>
      </c>
      <c r="AX79" s="28">
        <f t="shared" si="66"/>
        <v>0</v>
      </c>
      <c r="AY79" s="29" t="s">
        <v>524</v>
      </c>
      <c r="AZ79" s="29" t="s">
        <v>541</v>
      </c>
      <c r="BA79" s="23" t="s">
        <v>546</v>
      </c>
      <c r="BC79" s="28">
        <f t="shared" si="67"/>
        <v>0</v>
      </c>
      <c r="BD79" s="28">
        <f t="shared" si="68"/>
        <v>0</v>
      </c>
      <c r="BE79" s="28">
        <v>0</v>
      </c>
      <c r="BF79" s="28">
        <f>79</f>
        <v>79</v>
      </c>
      <c r="BH79" s="14">
        <f t="shared" si="69"/>
        <v>0</v>
      </c>
      <c r="BI79" s="14">
        <f t="shared" si="70"/>
        <v>0</v>
      </c>
      <c r="BJ79" s="14">
        <f t="shared" si="71"/>
        <v>0</v>
      </c>
    </row>
    <row r="80" spans="1:62" x14ac:dyDescent="0.2">
      <c r="A80" s="4" t="s">
        <v>64</v>
      </c>
      <c r="B80" s="4" t="s">
        <v>205</v>
      </c>
      <c r="C80" s="113" t="s">
        <v>371</v>
      </c>
      <c r="D80" s="114"/>
      <c r="E80" s="114"/>
      <c r="F80" s="4" t="s">
        <v>486</v>
      </c>
      <c r="G80" s="59">
        <v>80.31</v>
      </c>
      <c r="H80" s="14">
        <v>0</v>
      </c>
      <c r="I80" s="14">
        <f t="shared" si="48"/>
        <v>0</v>
      </c>
      <c r="J80" s="14">
        <f t="shared" si="49"/>
        <v>0</v>
      </c>
      <c r="K80" s="14">
        <f t="shared" si="50"/>
        <v>0</v>
      </c>
      <c r="L80" s="24" t="s">
        <v>505</v>
      </c>
      <c r="Z80" s="28">
        <f t="shared" si="51"/>
        <v>0</v>
      </c>
      <c r="AB80" s="28">
        <f t="shared" si="52"/>
        <v>0</v>
      </c>
      <c r="AC80" s="28">
        <f t="shared" si="53"/>
        <v>0</v>
      </c>
      <c r="AD80" s="28">
        <f t="shared" si="54"/>
        <v>0</v>
      </c>
      <c r="AE80" s="28">
        <f t="shared" si="55"/>
        <v>0</v>
      </c>
      <c r="AF80" s="28">
        <f t="shared" si="56"/>
        <v>0</v>
      </c>
      <c r="AG80" s="28">
        <f t="shared" si="57"/>
        <v>0</v>
      </c>
      <c r="AH80" s="28">
        <f t="shared" si="58"/>
        <v>0</v>
      </c>
      <c r="AI80" s="23" t="s">
        <v>515</v>
      </c>
      <c r="AJ80" s="14">
        <f t="shared" si="59"/>
        <v>0</v>
      </c>
      <c r="AK80" s="14">
        <f t="shared" si="60"/>
        <v>0</v>
      </c>
      <c r="AL80" s="14">
        <f t="shared" si="61"/>
        <v>0</v>
      </c>
      <c r="AN80" s="28">
        <v>21</v>
      </c>
      <c r="AO80" s="28">
        <f t="shared" si="62"/>
        <v>0</v>
      </c>
      <c r="AP80" s="28">
        <f t="shared" si="63"/>
        <v>0</v>
      </c>
      <c r="AQ80" s="24" t="s">
        <v>7</v>
      </c>
      <c r="AV80" s="28">
        <f t="shared" si="64"/>
        <v>0</v>
      </c>
      <c r="AW80" s="28">
        <f t="shared" si="65"/>
        <v>0</v>
      </c>
      <c r="AX80" s="28">
        <f t="shared" si="66"/>
        <v>0</v>
      </c>
      <c r="AY80" s="29" t="s">
        <v>524</v>
      </c>
      <c r="AZ80" s="29" t="s">
        <v>541</v>
      </c>
      <c r="BA80" s="23" t="s">
        <v>546</v>
      </c>
      <c r="BC80" s="28">
        <f t="shared" si="67"/>
        <v>0</v>
      </c>
      <c r="BD80" s="28">
        <f t="shared" si="68"/>
        <v>0</v>
      </c>
      <c r="BE80" s="28">
        <v>0</v>
      </c>
      <c r="BF80" s="28">
        <f>80</f>
        <v>80</v>
      </c>
      <c r="BH80" s="14">
        <f t="shared" si="69"/>
        <v>0</v>
      </c>
      <c r="BI80" s="14">
        <f t="shared" si="70"/>
        <v>0</v>
      </c>
      <c r="BJ80" s="14">
        <f t="shared" si="71"/>
        <v>0</v>
      </c>
    </row>
    <row r="81" spans="1:62" x14ac:dyDescent="0.2">
      <c r="A81" s="4" t="s">
        <v>65</v>
      </c>
      <c r="B81" s="4" t="s">
        <v>206</v>
      </c>
      <c r="C81" s="113" t="s">
        <v>372</v>
      </c>
      <c r="D81" s="114"/>
      <c r="E81" s="114"/>
      <c r="F81" s="4" t="s">
        <v>486</v>
      </c>
      <c r="G81" s="59">
        <v>384.46699999999998</v>
      </c>
      <c r="H81" s="14">
        <v>0</v>
      </c>
      <c r="I81" s="14">
        <f t="shared" si="48"/>
        <v>0</v>
      </c>
      <c r="J81" s="14">
        <f t="shared" si="49"/>
        <v>0</v>
      </c>
      <c r="K81" s="14">
        <f t="shared" si="50"/>
        <v>0</v>
      </c>
      <c r="L81" s="24" t="s">
        <v>505</v>
      </c>
      <c r="Z81" s="28">
        <f t="shared" si="51"/>
        <v>0</v>
      </c>
      <c r="AB81" s="28">
        <f t="shared" si="52"/>
        <v>0</v>
      </c>
      <c r="AC81" s="28">
        <f t="shared" si="53"/>
        <v>0</v>
      </c>
      <c r="AD81" s="28">
        <f t="shared" si="54"/>
        <v>0</v>
      </c>
      <c r="AE81" s="28">
        <f t="shared" si="55"/>
        <v>0</v>
      </c>
      <c r="AF81" s="28">
        <f t="shared" si="56"/>
        <v>0</v>
      </c>
      <c r="AG81" s="28">
        <f t="shared" si="57"/>
        <v>0</v>
      </c>
      <c r="AH81" s="28">
        <f t="shared" si="58"/>
        <v>0</v>
      </c>
      <c r="AI81" s="23" t="s">
        <v>515</v>
      </c>
      <c r="AJ81" s="14">
        <f t="shared" si="59"/>
        <v>0</v>
      </c>
      <c r="AK81" s="14">
        <f t="shared" si="60"/>
        <v>0</v>
      </c>
      <c r="AL81" s="14">
        <f t="shared" si="61"/>
        <v>0</v>
      </c>
      <c r="AN81" s="28">
        <v>21</v>
      </c>
      <c r="AO81" s="28">
        <f t="shared" si="62"/>
        <v>0</v>
      </c>
      <c r="AP81" s="28">
        <f t="shared" si="63"/>
        <v>0</v>
      </c>
      <c r="AQ81" s="24" t="s">
        <v>7</v>
      </c>
      <c r="AV81" s="28">
        <f t="shared" si="64"/>
        <v>0</v>
      </c>
      <c r="AW81" s="28">
        <f t="shared" si="65"/>
        <v>0</v>
      </c>
      <c r="AX81" s="28">
        <f t="shared" si="66"/>
        <v>0</v>
      </c>
      <c r="AY81" s="29" t="s">
        <v>524</v>
      </c>
      <c r="AZ81" s="29" t="s">
        <v>541</v>
      </c>
      <c r="BA81" s="23" t="s">
        <v>546</v>
      </c>
      <c r="BC81" s="28">
        <f t="shared" si="67"/>
        <v>0</v>
      </c>
      <c r="BD81" s="28">
        <f t="shared" si="68"/>
        <v>0</v>
      </c>
      <c r="BE81" s="28">
        <v>0</v>
      </c>
      <c r="BF81" s="28">
        <f>81</f>
        <v>81</v>
      </c>
      <c r="BH81" s="14">
        <f t="shared" si="69"/>
        <v>0</v>
      </c>
      <c r="BI81" s="14">
        <f t="shared" si="70"/>
        <v>0</v>
      </c>
      <c r="BJ81" s="14">
        <f t="shared" si="71"/>
        <v>0</v>
      </c>
    </row>
    <row r="82" spans="1:62" x14ac:dyDescent="0.2">
      <c r="A82" s="4" t="s">
        <v>66</v>
      </c>
      <c r="B82" s="4" t="s">
        <v>207</v>
      </c>
      <c r="C82" s="113" t="s">
        <v>373</v>
      </c>
      <c r="D82" s="114"/>
      <c r="E82" s="114"/>
      <c r="F82" s="4" t="s">
        <v>486</v>
      </c>
      <c r="G82" s="59">
        <v>464.77699999999999</v>
      </c>
      <c r="H82" s="14">
        <v>0</v>
      </c>
      <c r="I82" s="14">
        <f t="shared" si="48"/>
        <v>0</v>
      </c>
      <c r="J82" s="14">
        <f t="shared" si="49"/>
        <v>0</v>
      </c>
      <c r="K82" s="14">
        <f t="shared" si="50"/>
        <v>0</v>
      </c>
      <c r="L82" s="24" t="s">
        <v>505</v>
      </c>
      <c r="Z82" s="28">
        <f t="shared" si="51"/>
        <v>0</v>
      </c>
      <c r="AB82" s="28">
        <f t="shared" si="52"/>
        <v>0</v>
      </c>
      <c r="AC82" s="28">
        <f t="shared" si="53"/>
        <v>0</v>
      </c>
      <c r="AD82" s="28">
        <f t="shared" si="54"/>
        <v>0</v>
      </c>
      <c r="AE82" s="28">
        <f t="shared" si="55"/>
        <v>0</v>
      </c>
      <c r="AF82" s="28">
        <f t="shared" si="56"/>
        <v>0</v>
      </c>
      <c r="AG82" s="28">
        <f t="shared" si="57"/>
        <v>0</v>
      </c>
      <c r="AH82" s="28">
        <f t="shared" si="58"/>
        <v>0</v>
      </c>
      <c r="AI82" s="23" t="s">
        <v>515</v>
      </c>
      <c r="AJ82" s="14">
        <f t="shared" si="59"/>
        <v>0</v>
      </c>
      <c r="AK82" s="14">
        <f t="shared" si="60"/>
        <v>0</v>
      </c>
      <c r="AL82" s="14">
        <f t="shared" si="61"/>
        <v>0</v>
      </c>
      <c r="AN82" s="28">
        <v>21</v>
      </c>
      <c r="AO82" s="28">
        <f t="shared" si="62"/>
        <v>0</v>
      </c>
      <c r="AP82" s="28">
        <f t="shared" si="63"/>
        <v>0</v>
      </c>
      <c r="AQ82" s="24" t="s">
        <v>7</v>
      </c>
      <c r="AV82" s="28">
        <f t="shared" si="64"/>
        <v>0</v>
      </c>
      <c r="AW82" s="28">
        <f t="shared" si="65"/>
        <v>0</v>
      </c>
      <c r="AX82" s="28">
        <f t="shared" si="66"/>
        <v>0</v>
      </c>
      <c r="AY82" s="29" t="s">
        <v>524</v>
      </c>
      <c r="AZ82" s="29" t="s">
        <v>541</v>
      </c>
      <c r="BA82" s="23" t="s">
        <v>546</v>
      </c>
      <c r="BC82" s="28">
        <f t="shared" si="67"/>
        <v>0</v>
      </c>
      <c r="BD82" s="28">
        <f t="shared" si="68"/>
        <v>0</v>
      </c>
      <c r="BE82" s="28">
        <v>0</v>
      </c>
      <c r="BF82" s="28">
        <f>82</f>
        <v>82</v>
      </c>
      <c r="BH82" s="14">
        <f t="shared" si="69"/>
        <v>0</v>
      </c>
      <c r="BI82" s="14">
        <f t="shared" si="70"/>
        <v>0</v>
      </c>
      <c r="BJ82" s="14">
        <f t="shared" si="71"/>
        <v>0</v>
      </c>
    </row>
    <row r="83" spans="1:62" x14ac:dyDescent="0.2">
      <c r="A83" s="4" t="s">
        <v>67</v>
      </c>
      <c r="B83" s="4" t="s">
        <v>208</v>
      </c>
      <c r="C83" s="113" t="s">
        <v>374</v>
      </c>
      <c r="D83" s="114"/>
      <c r="E83" s="114"/>
      <c r="F83" s="4" t="s">
        <v>489</v>
      </c>
      <c r="G83" s="59">
        <v>400</v>
      </c>
      <c r="H83" s="14">
        <v>0</v>
      </c>
      <c r="I83" s="14">
        <f t="shared" si="48"/>
        <v>0</v>
      </c>
      <c r="J83" s="14">
        <f t="shared" si="49"/>
        <v>0</v>
      </c>
      <c r="K83" s="14">
        <f t="shared" si="50"/>
        <v>0</v>
      </c>
      <c r="L83" s="24" t="s">
        <v>505</v>
      </c>
      <c r="Z83" s="28">
        <f t="shared" si="51"/>
        <v>0</v>
      </c>
      <c r="AB83" s="28">
        <f t="shared" si="52"/>
        <v>0</v>
      </c>
      <c r="AC83" s="28">
        <f t="shared" si="53"/>
        <v>0</v>
      </c>
      <c r="AD83" s="28">
        <f t="shared" si="54"/>
        <v>0</v>
      </c>
      <c r="AE83" s="28">
        <f t="shared" si="55"/>
        <v>0</v>
      </c>
      <c r="AF83" s="28">
        <f t="shared" si="56"/>
        <v>0</v>
      </c>
      <c r="AG83" s="28">
        <f t="shared" si="57"/>
        <v>0</v>
      </c>
      <c r="AH83" s="28">
        <f t="shared" si="58"/>
        <v>0</v>
      </c>
      <c r="AI83" s="23" t="s">
        <v>515</v>
      </c>
      <c r="AJ83" s="14">
        <f t="shared" si="59"/>
        <v>0</v>
      </c>
      <c r="AK83" s="14">
        <f t="shared" si="60"/>
        <v>0</v>
      </c>
      <c r="AL83" s="14">
        <f t="shared" si="61"/>
        <v>0</v>
      </c>
      <c r="AN83" s="28">
        <v>21</v>
      </c>
      <c r="AO83" s="28">
        <f>H83*0.101090909090909</f>
        <v>0</v>
      </c>
      <c r="AP83" s="28">
        <f>H83*(1-0.101090909090909)</f>
        <v>0</v>
      </c>
      <c r="AQ83" s="24" t="s">
        <v>7</v>
      </c>
      <c r="AV83" s="28">
        <f t="shared" si="64"/>
        <v>0</v>
      </c>
      <c r="AW83" s="28">
        <f t="shared" si="65"/>
        <v>0</v>
      </c>
      <c r="AX83" s="28">
        <f t="shared" si="66"/>
        <v>0</v>
      </c>
      <c r="AY83" s="29" t="s">
        <v>524</v>
      </c>
      <c r="AZ83" s="29" t="s">
        <v>541</v>
      </c>
      <c r="BA83" s="23" t="s">
        <v>546</v>
      </c>
      <c r="BC83" s="28">
        <f t="shared" si="67"/>
        <v>0</v>
      </c>
      <c r="BD83" s="28">
        <f t="shared" si="68"/>
        <v>0</v>
      </c>
      <c r="BE83" s="28">
        <v>0</v>
      </c>
      <c r="BF83" s="28">
        <f>83</f>
        <v>83</v>
      </c>
      <c r="BH83" s="14">
        <f t="shared" si="69"/>
        <v>0</v>
      </c>
      <c r="BI83" s="14">
        <f t="shared" si="70"/>
        <v>0</v>
      </c>
      <c r="BJ83" s="14">
        <f t="shared" si="71"/>
        <v>0</v>
      </c>
    </row>
    <row r="84" spans="1:62" x14ac:dyDescent="0.2">
      <c r="A84" s="4" t="s">
        <v>68</v>
      </c>
      <c r="B84" s="4" t="s">
        <v>209</v>
      </c>
      <c r="C84" s="113" t="s">
        <v>375</v>
      </c>
      <c r="D84" s="114"/>
      <c r="E84" s="114"/>
      <c r="F84" s="4" t="s">
        <v>484</v>
      </c>
      <c r="G84" s="59">
        <v>119</v>
      </c>
      <c r="H84" s="14">
        <v>0</v>
      </c>
      <c r="I84" s="14">
        <f t="shared" si="48"/>
        <v>0</v>
      </c>
      <c r="J84" s="14">
        <f t="shared" si="49"/>
        <v>0</v>
      </c>
      <c r="K84" s="14">
        <f t="shared" si="50"/>
        <v>0</v>
      </c>
      <c r="L84" s="24" t="s">
        <v>505</v>
      </c>
      <c r="Z84" s="28">
        <f t="shared" si="51"/>
        <v>0</v>
      </c>
      <c r="AB84" s="28">
        <f t="shared" si="52"/>
        <v>0</v>
      </c>
      <c r="AC84" s="28">
        <f t="shared" si="53"/>
        <v>0</v>
      </c>
      <c r="AD84" s="28">
        <f t="shared" si="54"/>
        <v>0</v>
      </c>
      <c r="AE84" s="28">
        <f t="shared" si="55"/>
        <v>0</v>
      </c>
      <c r="AF84" s="28">
        <f t="shared" si="56"/>
        <v>0</v>
      </c>
      <c r="AG84" s="28">
        <f t="shared" si="57"/>
        <v>0</v>
      </c>
      <c r="AH84" s="28">
        <f t="shared" si="58"/>
        <v>0</v>
      </c>
      <c r="AI84" s="23" t="s">
        <v>515</v>
      </c>
      <c r="AJ84" s="14">
        <f t="shared" si="59"/>
        <v>0</v>
      </c>
      <c r="AK84" s="14">
        <f t="shared" si="60"/>
        <v>0</v>
      </c>
      <c r="AL84" s="14">
        <f t="shared" si="61"/>
        <v>0</v>
      </c>
      <c r="AN84" s="28">
        <v>21</v>
      </c>
      <c r="AO84" s="28">
        <f>H84*0</f>
        <v>0</v>
      </c>
      <c r="AP84" s="28">
        <f>H84*(1-0)</f>
        <v>0</v>
      </c>
      <c r="AQ84" s="24" t="s">
        <v>7</v>
      </c>
      <c r="AV84" s="28">
        <f t="shared" si="64"/>
        <v>0</v>
      </c>
      <c r="AW84" s="28">
        <f t="shared" si="65"/>
        <v>0</v>
      </c>
      <c r="AX84" s="28">
        <f t="shared" si="66"/>
        <v>0</v>
      </c>
      <c r="AY84" s="29" t="s">
        <v>524</v>
      </c>
      <c r="AZ84" s="29" t="s">
        <v>541</v>
      </c>
      <c r="BA84" s="23" t="s">
        <v>546</v>
      </c>
      <c r="BC84" s="28">
        <f t="shared" si="67"/>
        <v>0</v>
      </c>
      <c r="BD84" s="28">
        <f t="shared" si="68"/>
        <v>0</v>
      </c>
      <c r="BE84" s="28">
        <v>0</v>
      </c>
      <c r="BF84" s="28">
        <f>84</f>
        <v>84</v>
      </c>
      <c r="BH84" s="14">
        <f t="shared" si="69"/>
        <v>0</v>
      </c>
      <c r="BI84" s="14">
        <f t="shared" si="70"/>
        <v>0</v>
      </c>
      <c r="BJ84" s="14">
        <f t="shared" si="71"/>
        <v>0</v>
      </c>
    </row>
    <row r="85" spans="1:62" x14ac:dyDescent="0.2">
      <c r="A85" s="4" t="s">
        <v>69</v>
      </c>
      <c r="B85" s="4" t="s">
        <v>210</v>
      </c>
      <c r="C85" s="113" t="s">
        <v>376</v>
      </c>
      <c r="D85" s="114"/>
      <c r="E85" s="114"/>
      <c r="F85" s="4" t="s">
        <v>484</v>
      </c>
      <c r="G85" s="59">
        <v>44</v>
      </c>
      <c r="H85" s="14">
        <v>0</v>
      </c>
      <c r="I85" s="14">
        <f t="shared" si="48"/>
        <v>0</v>
      </c>
      <c r="J85" s="14">
        <f t="shared" si="49"/>
        <v>0</v>
      </c>
      <c r="K85" s="14">
        <f t="shared" si="50"/>
        <v>0</v>
      </c>
      <c r="L85" s="24" t="s">
        <v>505</v>
      </c>
      <c r="Z85" s="28">
        <f t="shared" si="51"/>
        <v>0</v>
      </c>
      <c r="AB85" s="28">
        <f t="shared" si="52"/>
        <v>0</v>
      </c>
      <c r="AC85" s="28">
        <f t="shared" si="53"/>
        <v>0</v>
      </c>
      <c r="AD85" s="28">
        <f t="shared" si="54"/>
        <v>0</v>
      </c>
      <c r="AE85" s="28">
        <f t="shared" si="55"/>
        <v>0</v>
      </c>
      <c r="AF85" s="28">
        <f t="shared" si="56"/>
        <v>0</v>
      </c>
      <c r="AG85" s="28">
        <f t="shared" si="57"/>
        <v>0</v>
      </c>
      <c r="AH85" s="28">
        <f t="shared" si="58"/>
        <v>0</v>
      </c>
      <c r="AI85" s="23" t="s">
        <v>515</v>
      </c>
      <c r="AJ85" s="14">
        <f t="shared" si="59"/>
        <v>0</v>
      </c>
      <c r="AK85" s="14">
        <f t="shared" si="60"/>
        <v>0</v>
      </c>
      <c r="AL85" s="14">
        <f t="shared" si="61"/>
        <v>0</v>
      </c>
      <c r="AN85" s="28">
        <v>21</v>
      </c>
      <c r="AO85" s="28">
        <f>H85*0</f>
        <v>0</v>
      </c>
      <c r="AP85" s="28">
        <f>H85*(1-0)</f>
        <v>0</v>
      </c>
      <c r="AQ85" s="24" t="s">
        <v>7</v>
      </c>
      <c r="AV85" s="28">
        <f t="shared" si="64"/>
        <v>0</v>
      </c>
      <c r="AW85" s="28">
        <f t="shared" si="65"/>
        <v>0</v>
      </c>
      <c r="AX85" s="28">
        <f t="shared" si="66"/>
        <v>0</v>
      </c>
      <c r="AY85" s="29" t="s">
        <v>524</v>
      </c>
      <c r="AZ85" s="29" t="s">
        <v>541</v>
      </c>
      <c r="BA85" s="23" t="s">
        <v>546</v>
      </c>
      <c r="BC85" s="28">
        <f t="shared" si="67"/>
        <v>0</v>
      </c>
      <c r="BD85" s="28">
        <f t="shared" si="68"/>
        <v>0</v>
      </c>
      <c r="BE85" s="28">
        <v>0</v>
      </c>
      <c r="BF85" s="28">
        <f>85</f>
        <v>85</v>
      </c>
      <c r="BH85" s="14">
        <f t="shared" si="69"/>
        <v>0</v>
      </c>
      <c r="BI85" s="14">
        <f t="shared" si="70"/>
        <v>0</v>
      </c>
      <c r="BJ85" s="14">
        <f t="shared" si="71"/>
        <v>0</v>
      </c>
    </row>
    <row r="86" spans="1:62" x14ac:dyDescent="0.2">
      <c r="A86" s="4" t="s">
        <v>70</v>
      </c>
      <c r="B86" s="4" t="s">
        <v>211</v>
      </c>
      <c r="C86" s="113" t="s">
        <v>377</v>
      </c>
      <c r="D86" s="114"/>
      <c r="E86" s="114"/>
      <c r="F86" s="4" t="s">
        <v>484</v>
      </c>
      <c r="G86" s="59">
        <v>2</v>
      </c>
      <c r="H86" s="14">
        <v>0</v>
      </c>
      <c r="I86" s="14">
        <f t="shared" si="48"/>
        <v>0</v>
      </c>
      <c r="J86" s="14">
        <f t="shared" si="49"/>
        <v>0</v>
      </c>
      <c r="K86" s="14">
        <f t="shared" si="50"/>
        <v>0</v>
      </c>
      <c r="L86" s="24" t="s">
        <v>505</v>
      </c>
      <c r="Z86" s="28">
        <f t="shared" si="51"/>
        <v>0</v>
      </c>
      <c r="AB86" s="28">
        <f t="shared" si="52"/>
        <v>0</v>
      </c>
      <c r="AC86" s="28">
        <f t="shared" si="53"/>
        <v>0</v>
      </c>
      <c r="AD86" s="28">
        <f t="shared" si="54"/>
        <v>0</v>
      </c>
      <c r="AE86" s="28">
        <f t="shared" si="55"/>
        <v>0</v>
      </c>
      <c r="AF86" s="28">
        <f t="shared" si="56"/>
        <v>0</v>
      </c>
      <c r="AG86" s="28">
        <f t="shared" si="57"/>
        <v>0</v>
      </c>
      <c r="AH86" s="28">
        <f t="shared" si="58"/>
        <v>0</v>
      </c>
      <c r="AI86" s="23" t="s">
        <v>515</v>
      </c>
      <c r="AJ86" s="14">
        <f t="shared" si="59"/>
        <v>0</v>
      </c>
      <c r="AK86" s="14">
        <f t="shared" si="60"/>
        <v>0</v>
      </c>
      <c r="AL86" s="14">
        <f t="shared" si="61"/>
        <v>0</v>
      </c>
      <c r="AN86" s="28">
        <v>21</v>
      </c>
      <c r="AO86" s="28">
        <f>H86*0</f>
        <v>0</v>
      </c>
      <c r="AP86" s="28">
        <f>H86*(1-0)</f>
        <v>0</v>
      </c>
      <c r="AQ86" s="24" t="s">
        <v>7</v>
      </c>
      <c r="AV86" s="28">
        <f t="shared" si="64"/>
        <v>0</v>
      </c>
      <c r="AW86" s="28">
        <f t="shared" si="65"/>
        <v>0</v>
      </c>
      <c r="AX86" s="28">
        <f t="shared" si="66"/>
        <v>0</v>
      </c>
      <c r="AY86" s="29" t="s">
        <v>524</v>
      </c>
      <c r="AZ86" s="29" t="s">
        <v>541</v>
      </c>
      <c r="BA86" s="23" t="s">
        <v>546</v>
      </c>
      <c r="BC86" s="28">
        <f t="shared" si="67"/>
        <v>0</v>
      </c>
      <c r="BD86" s="28">
        <f t="shared" si="68"/>
        <v>0</v>
      </c>
      <c r="BE86" s="28">
        <v>0</v>
      </c>
      <c r="BF86" s="28">
        <f>86</f>
        <v>86</v>
      </c>
      <c r="BH86" s="14">
        <f t="shared" si="69"/>
        <v>0</v>
      </c>
      <c r="BI86" s="14">
        <f t="shared" si="70"/>
        <v>0</v>
      </c>
      <c r="BJ86" s="14">
        <f t="shared" si="71"/>
        <v>0</v>
      </c>
    </row>
    <row r="87" spans="1:62" x14ac:dyDescent="0.2">
      <c r="A87" s="4" t="s">
        <v>71</v>
      </c>
      <c r="B87" s="4" t="s">
        <v>212</v>
      </c>
      <c r="C87" s="113" t="s">
        <v>378</v>
      </c>
      <c r="D87" s="114"/>
      <c r="E87" s="114"/>
      <c r="F87" s="4" t="s">
        <v>486</v>
      </c>
      <c r="G87" s="59">
        <v>4.68</v>
      </c>
      <c r="H87" s="14">
        <v>0</v>
      </c>
      <c r="I87" s="14">
        <f t="shared" si="48"/>
        <v>0</v>
      </c>
      <c r="J87" s="14">
        <f t="shared" si="49"/>
        <v>0</v>
      </c>
      <c r="K87" s="14">
        <f t="shared" si="50"/>
        <v>0</v>
      </c>
      <c r="L87" s="24" t="s">
        <v>505</v>
      </c>
      <c r="Z87" s="28">
        <f t="shared" si="51"/>
        <v>0</v>
      </c>
      <c r="AB87" s="28">
        <f t="shared" si="52"/>
        <v>0</v>
      </c>
      <c r="AC87" s="28">
        <f t="shared" si="53"/>
        <v>0</v>
      </c>
      <c r="AD87" s="28">
        <f t="shared" si="54"/>
        <v>0</v>
      </c>
      <c r="AE87" s="28">
        <f t="shared" si="55"/>
        <v>0</v>
      </c>
      <c r="AF87" s="28">
        <f t="shared" si="56"/>
        <v>0</v>
      </c>
      <c r="AG87" s="28">
        <f t="shared" si="57"/>
        <v>0</v>
      </c>
      <c r="AH87" s="28">
        <f t="shared" si="58"/>
        <v>0</v>
      </c>
      <c r="AI87" s="23" t="s">
        <v>515</v>
      </c>
      <c r="AJ87" s="14">
        <f t="shared" si="59"/>
        <v>0</v>
      </c>
      <c r="AK87" s="14">
        <f t="shared" si="60"/>
        <v>0</v>
      </c>
      <c r="AL87" s="14">
        <f t="shared" si="61"/>
        <v>0</v>
      </c>
      <c r="AN87" s="28">
        <v>21</v>
      </c>
      <c r="AO87" s="28">
        <f>H87*0.122082324455206</f>
        <v>0</v>
      </c>
      <c r="AP87" s="28">
        <f>H87*(1-0.122082324455206)</f>
        <v>0</v>
      </c>
      <c r="AQ87" s="24" t="s">
        <v>7</v>
      </c>
      <c r="AV87" s="28">
        <f t="shared" si="64"/>
        <v>0</v>
      </c>
      <c r="AW87" s="28">
        <f t="shared" si="65"/>
        <v>0</v>
      </c>
      <c r="AX87" s="28">
        <f t="shared" si="66"/>
        <v>0</v>
      </c>
      <c r="AY87" s="29" t="s">
        <v>524</v>
      </c>
      <c r="AZ87" s="29" t="s">
        <v>541</v>
      </c>
      <c r="BA87" s="23" t="s">
        <v>546</v>
      </c>
      <c r="BC87" s="28">
        <f t="shared" si="67"/>
        <v>0</v>
      </c>
      <c r="BD87" s="28">
        <f t="shared" si="68"/>
        <v>0</v>
      </c>
      <c r="BE87" s="28">
        <v>0</v>
      </c>
      <c r="BF87" s="28">
        <f>87</f>
        <v>87</v>
      </c>
      <c r="BH87" s="14">
        <f t="shared" si="69"/>
        <v>0</v>
      </c>
      <c r="BI87" s="14">
        <f t="shared" si="70"/>
        <v>0</v>
      </c>
      <c r="BJ87" s="14">
        <f t="shared" si="71"/>
        <v>0</v>
      </c>
    </row>
    <row r="88" spans="1:62" x14ac:dyDescent="0.2">
      <c r="A88" s="4" t="s">
        <v>72</v>
      </c>
      <c r="B88" s="4" t="s">
        <v>213</v>
      </c>
      <c r="C88" s="113" t="s">
        <v>379</v>
      </c>
      <c r="D88" s="114"/>
      <c r="E88" s="114"/>
      <c r="F88" s="4" t="s">
        <v>486</v>
      </c>
      <c r="G88" s="59">
        <v>108.15</v>
      </c>
      <c r="H88" s="14">
        <v>0</v>
      </c>
      <c r="I88" s="14">
        <f t="shared" si="48"/>
        <v>0</v>
      </c>
      <c r="J88" s="14">
        <f t="shared" si="49"/>
        <v>0</v>
      </c>
      <c r="K88" s="14">
        <f t="shared" si="50"/>
        <v>0</v>
      </c>
      <c r="L88" s="24" t="s">
        <v>505</v>
      </c>
      <c r="Z88" s="28">
        <f t="shared" si="51"/>
        <v>0</v>
      </c>
      <c r="AB88" s="28">
        <f t="shared" si="52"/>
        <v>0</v>
      </c>
      <c r="AC88" s="28">
        <f t="shared" si="53"/>
        <v>0</v>
      </c>
      <c r="AD88" s="28">
        <f t="shared" si="54"/>
        <v>0</v>
      </c>
      <c r="AE88" s="28">
        <f t="shared" si="55"/>
        <v>0</v>
      </c>
      <c r="AF88" s="28">
        <f t="shared" si="56"/>
        <v>0</v>
      </c>
      <c r="AG88" s="28">
        <f t="shared" si="57"/>
        <v>0</v>
      </c>
      <c r="AH88" s="28">
        <f t="shared" si="58"/>
        <v>0</v>
      </c>
      <c r="AI88" s="23" t="s">
        <v>515</v>
      </c>
      <c r="AJ88" s="14">
        <f t="shared" si="59"/>
        <v>0</v>
      </c>
      <c r="AK88" s="14">
        <f t="shared" si="60"/>
        <v>0</v>
      </c>
      <c r="AL88" s="14">
        <f t="shared" si="61"/>
        <v>0</v>
      </c>
      <c r="AN88" s="28">
        <v>21</v>
      </c>
      <c r="AO88" s="28">
        <f>H88*0.0905511811023622</f>
        <v>0</v>
      </c>
      <c r="AP88" s="28">
        <f>H88*(1-0.0905511811023622)</f>
        <v>0</v>
      </c>
      <c r="AQ88" s="24" t="s">
        <v>7</v>
      </c>
      <c r="AV88" s="28">
        <f t="shared" si="64"/>
        <v>0</v>
      </c>
      <c r="AW88" s="28">
        <f t="shared" si="65"/>
        <v>0</v>
      </c>
      <c r="AX88" s="28">
        <f t="shared" si="66"/>
        <v>0</v>
      </c>
      <c r="AY88" s="29" t="s">
        <v>524</v>
      </c>
      <c r="AZ88" s="29" t="s">
        <v>541</v>
      </c>
      <c r="BA88" s="23" t="s">
        <v>546</v>
      </c>
      <c r="BC88" s="28">
        <f t="shared" si="67"/>
        <v>0</v>
      </c>
      <c r="BD88" s="28">
        <f t="shared" si="68"/>
        <v>0</v>
      </c>
      <c r="BE88" s="28">
        <v>0</v>
      </c>
      <c r="BF88" s="28">
        <f>88</f>
        <v>88</v>
      </c>
      <c r="BH88" s="14">
        <f t="shared" si="69"/>
        <v>0</v>
      </c>
      <c r="BI88" s="14">
        <f t="shared" si="70"/>
        <v>0</v>
      </c>
      <c r="BJ88" s="14">
        <f t="shared" si="71"/>
        <v>0</v>
      </c>
    </row>
    <row r="89" spans="1:62" x14ac:dyDescent="0.2">
      <c r="A89" s="4" t="s">
        <v>73</v>
      </c>
      <c r="B89" s="4" t="s">
        <v>214</v>
      </c>
      <c r="C89" s="113" t="s">
        <v>380</v>
      </c>
      <c r="D89" s="114"/>
      <c r="E89" s="114"/>
      <c r="F89" s="4" t="s">
        <v>486</v>
      </c>
      <c r="G89" s="59">
        <v>10.68</v>
      </c>
      <c r="H89" s="14">
        <v>0</v>
      </c>
      <c r="I89" s="14">
        <f t="shared" si="48"/>
        <v>0</v>
      </c>
      <c r="J89" s="14">
        <f t="shared" si="49"/>
        <v>0</v>
      </c>
      <c r="K89" s="14">
        <f t="shared" si="50"/>
        <v>0</v>
      </c>
      <c r="L89" s="24" t="s">
        <v>505</v>
      </c>
      <c r="Z89" s="28">
        <f t="shared" si="51"/>
        <v>0</v>
      </c>
      <c r="AB89" s="28">
        <f t="shared" si="52"/>
        <v>0</v>
      </c>
      <c r="AC89" s="28">
        <f t="shared" si="53"/>
        <v>0</v>
      </c>
      <c r="AD89" s="28">
        <f t="shared" si="54"/>
        <v>0</v>
      </c>
      <c r="AE89" s="28">
        <f t="shared" si="55"/>
        <v>0</v>
      </c>
      <c r="AF89" s="28">
        <f t="shared" si="56"/>
        <v>0</v>
      </c>
      <c r="AG89" s="28">
        <f t="shared" si="57"/>
        <v>0</v>
      </c>
      <c r="AH89" s="28">
        <f t="shared" si="58"/>
        <v>0</v>
      </c>
      <c r="AI89" s="23" t="s">
        <v>515</v>
      </c>
      <c r="AJ89" s="14">
        <f t="shared" si="59"/>
        <v>0</v>
      </c>
      <c r="AK89" s="14">
        <f t="shared" si="60"/>
        <v>0</v>
      </c>
      <c r="AL89" s="14">
        <f t="shared" si="61"/>
        <v>0</v>
      </c>
      <c r="AN89" s="28">
        <v>21</v>
      </c>
      <c r="AO89" s="28">
        <f>H89*0.107360406091371</f>
        <v>0</v>
      </c>
      <c r="AP89" s="28">
        <f>H89*(1-0.107360406091371)</f>
        <v>0</v>
      </c>
      <c r="AQ89" s="24" t="s">
        <v>7</v>
      </c>
      <c r="AV89" s="28">
        <f t="shared" si="64"/>
        <v>0</v>
      </c>
      <c r="AW89" s="28">
        <f t="shared" si="65"/>
        <v>0</v>
      </c>
      <c r="AX89" s="28">
        <f t="shared" si="66"/>
        <v>0</v>
      </c>
      <c r="AY89" s="29" t="s">
        <v>524</v>
      </c>
      <c r="AZ89" s="29" t="s">
        <v>541</v>
      </c>
      <c r="BA89" s="23" t="s">
        <v>546</v>
      </c>
      <c r="BC89" s="28">
        <f t="shared" si="67"/>
        <v>0</v>
      </c>
      <c r="BD89" s="28">
        <f t="shared" si="68"/>
        <v>0</v>
      </c>
      <c r="BE89" s="28">
        <v>0</v>
      </c>
      <c r="BF89" s="28">
        <f>89</f>
        <v>89</v>
      </c>
      <c r="BH89" s="14">
        <f t="shared" si="69"/>
        <v>0</v>
      </c>
      <c r="BI89" s="14">
        <f t="shared" si="70"/>
        <v>0</v>
      </c>
      <c r="BJ89" s="14">
        <f t="shared" si="71"/>
        <v>0</v>
      </c>
    </row>
    <row r="90" spans="1:62" x14ac:dyDescent="0.2">
      <c r="A90" s="4" t="s">
        <v>74</v>
      </c>
      <c r="B90" s="4" t="s">
        <v>215</v>
      </c>
      <c r="C90" s="113" t="s">
        <v>381</v>
      </c>
      <c r="D90" s="114"/>
      <c r="E90" s="114"/>
      <c r="F90" s="4" t="s">
        <v>486</v>
      </c>
      <c r="G90" s="59">
        <v>75.75</v>
      </c>
      <c r="H90" s="14">
        <v>0</v>
      </c>
      <c r="I90" s="14">
        <f t="shared" si="48"/>
        <v>0</v>
      </c>
      <c r="J90" s="14">
        <f t="shared" si="49"/>
        <v>0</v>
      </c>
      <c r="K90" s="14">
        <f t="shared" si="50"/>
        <v>0</v>
      </c>
      <c r="L90" s="24" t="s">
        <v>505</v>
      </c>
      <c r="Z90" s="28">
        <f t="shared" si="51"/>
        <v>0</v>
      </c>
      <c r="AB90" s="28">
        <f t="shared" si="52"/>
        <v>0</v>
      </c>
      <c r="AC90" s="28">
        <f t="shared" si="53"/>
        <v>0</v>
      </c>
      <c r="AD90" s="28">
        <f t="shared" si="54"/>
        <v>0</v>
      </c>
      <c r="AE90" s="28">
        <f t="shared" si="55"/>
        <v>0</v>
      </c>
      <c r="AF90" s="28">
        <f t="shared" si="56"/>
        <v>0</v>
      </c>
      <c r="AG90" s="28">
        <f t="shared" si="57"/>
        <v>0</v>
      </c>
      <c r="AH90" s="28">
        <f t="shared" si="58"/>
        <v>0</v>
      </c>
      <c r="AI90" s="23" t="s">
        <v>515</v>
      </c>
      <c r="AJ90" s="14">
        <f t="shared" si="59"/>
        <v>0</v>
      </c>
      <c r="AK90" s="14">
        <f t="shared" si="60"/>
        <v>0</v>
      </c>
      <c r="AL90" s="14">
        <f t="shared" si="61"/>
        <v>0</v>
      </c>
      <c r="AN90" s="28">
        <v>21</v>
      </c>
      <c r="AO90" s="28">
        <f>H90*0.070882728119294</f>
        <v>0</v>
      </c>
      <c r="AP90" s="28">
        <f>H90*(1-0.070882728119294)</f>
        <v>0</v>
      </c>
      <c r="AQ90" s="24" t="s">
        <v>7</v>
      </c>
      <c r="AV90" s="28">
        <f t="shared" si="64"/>
        <v>0</v>
      </c>
      <c r="AW90" s="28">
        <f t="shared" si="65"/>
        <v>0</v>
      </c>
      <c r="AX90" s="28">
        <f t="shared" si="66"/>
        <v>0</v>
      </c>
      <c r="AY90" s="29" t="s">
        <v>524</v>
      </c>
      <c r="AZ90" s="29" t="s">
        <v>541</v>
      </c>
      <c r="BA90" s="23" t="s">
        <v>546</v>
      </c>
      <c r="BC90" s="28">
        <f t="shared" si="67"/>
        <v>0</v>
      </c>
      <c r="BD90" s="28">
        <f t="shared" si="68"/>
        <v>0</v>
      </c>
      <c r="BE90" s="28">
        <v>0</v>
      </c>
      <c r="BF90" s="28">
        <f>90</f>
        <v>90</v>
      </c>
      <c r="BH90" s="14">
        <f t="shared" si="69"/>
        <v>0</v>
      </c>
      <c r="BI90" s="14">
        <f t="shared" si="70"/>
        <v>0</v>
      </c>
      <c r="BJ90" s="14">
        <f t="shared" si="71"/>
        <v>0</v>
      </c>
    </row>
    <row r="91" spans="1:62" x14ac:dyDescent="0.2">
      <c r="A91" s="4" t="s">
        <v>75</v>
      </c>
      <c r="B91" s="4" t="s">
        <v>216</v>
      </c>
      <c r="C91" s="113" t="s">
        <v>382</v>
      </c>
      <c r="D91" s="114"/>
      <c r="E91" s="114"/>
      <c r="F91" s="4" t="s">
        <v>486</v>
      </c>
      <c r="G91" s="59">
        <v>6.8680000000000003</v>
      </c>
      <c r="H91" s="14">
        <v>0</v>
      </c>
      <c r="I91" s="14">
        <f t="shared" si="48"/>
        <v>0</v>
      </c>
      <c r="J91" s="14">
        <f t="shared" si="49"/>
        <v>0</v>
      </c>
      <c r="K91" s="14">
        <f t="shared" si="50"/>
        <v>0</v>
      </c>
      <c r="L91" s="24" t="s">
        <v>505</v>
      </c>
      <c r="Z91" s="28">
        <f t="shared" si="51"/>
        <v>0</v>
      </c>
      <c r="AB91" s="28">
        <f t="shared" si="52"/>
        <v>0</v>
      </c>
      <c r="AC91" s="28">
        <f t="shared" si="53"/>
        <v>0</v>
      </c>
      <c r="AD91" s="28">
        <f t="shared" si="54"/>
        <v>0</v>
      </c>
      <c r="AE91" s="28">
        <f t="shared" si="55"/>
        <v>0</v>
      </c>
      <c r="AF91" s="28">
        <f t="shared" si="56"/>
        <v>0</v>
      </c>
      <c r="AG91" s="28">
        <f t="shared" si="57"/>
        <v>0</v>
      </c>
      <c r="AH91" s="28">
        <f t="shared" si="58"/>
        <v>0</v>
      </c>
      <c r="AI91" s="23" t="s">
        <v>515</v>
      </c>
      <c r="AJ91" s="14">
        <f t="shared" si="59"/>
        <v>0</v>
      </c>
      <c r="AK91" s="14">
        <f t="shared" si="60"/>
        <v>0</v>
      </c>
      <c r="AL91" s="14">
        <f t="shared" si="61"/>
        <v>0</v>
      </c>
      <c r="AN91" s="28">
        <v>21</v>
      </c>
      <c r="AO91" s="28">
        <f>H91*0.0784984495507673</f>
        <v>0</v>
      </c>
      <c r="AP91" s="28">
        <f>H91*(1-0.0784984495507673)</f>
        <v>0</v>
      </c>
      <c r="AQ91" s="24" t="s">
        <v>7</v>
      </c>
      <c r="AV91" s="28">
        <f t="shared" si="64"/>
        <v>0</v>
      </c>
      <c r="AW91" s="28">
        <f t="shared" si="65"/>
        <v>0</v>
      </c>
      <c r="AX91" s="28">
        <f t="shared" si="66"/>
        <v>0</v>
      </c>
      <c r="AY91" s="29" t="s">
        <v>524</v>
      </c>
      <c r="AZ91" s="29" t="s">
        <v>541</v>
      </c>
      <c r="BA91" s="23" t="s">
        <v>546</v>
      </c>
      <c r="BC91" s="28">
        <f t="shared" si="67"/>
        <v>0</v>
      </c>
      <c r="BD91" s="28">
        <f t="shared" si="68"/>
        <v>0</v>
      </c>
      <c r="BE91" s="28">
        <v>0</v>
      </c>
      <c r="BF91" s="28">
        <f>91</f>
        <v>91</v>
      </c>
      <c r="BH91" s="14">
        <f t="shared" si="69"/>
        <v>0</v>
      </c>
      <c r="BI91" s="14">
        <f t="shared" si="70"/>
        <v>0</v>
      </c>
      <c r="BJ91" s="14">
        <f t="shared" si="71"/>
        <v>0</v>
      </c>
    </row>
    <row r="92" spans="1:62" x14ac:dyDescent="0.2">
      <c r="A92" s="4" t="s">
        <v>76</v>
      </c>
      <c r="B92" s="4" t="s">
        <v>217</v>
      </c>
      <c r="C92" s="113" t="s">
        <v>383</v>
      </c>
      <c r="D92" s="114"/>
      <c r="E92" s="114"/>
      <c r="F92" s="4" t="s">
        <v>486</v>
      </c>
      <c r="G92" s="59">
        <v>3.36</v>
      </c>
      <c r="H92" s="14">
        <v>0</v>
      </c>
      <c r="I92" s="14">
        <f t="shared" si="48"/>
        <v>0</v>
      </c>
      <c r="J92" s="14">
        <f t="shared" si="49"/>
        <v>0</v>
      </c>
      <c r="K92" s="14">
        <f t="shared" si="50"/>
        <v>0</v>
      </c>
      <c r="L92" s="24" t="s">
        <v>505</v>
      </c>
      <c r="Z92" s="28">
        <f t="shared" si="51"/>
        <v>0</v>
      </c>
      <c r="AB92" s="28">
        <f t="shared" si="52"/>
        <v>0</v>
      </c>
      <c r="AC92" s="28">
        <f t="shared" si="53"/>
        <v>0</v>
      </c>
      <c r="AD92" s="28">
        <f t="shared" si="54"/>
        <v>0</v>
      </c>
      <c r="AE92" s="28">
        <f t="shared" si="55"/>
        <v>0</v>
      </c>
      <c r="AF92" s="28">
        <f t="shared" si="56"/>
        <v>0</v>
      </c>
      <c r="AG92" s="28">
        <f t="shared" si="57"/>
        <v>0</v>
      </c>
      <c r="AH92" s="28">
        <f t="shared" si="58"/>
        <v>0</v>
      </c>
      <c r="AI92" s="23" t="s">
        <v>515</v>
      </c>
      <c r="AJ92" s="14">
        <f t="shared" si="59"/>
        <v>0</v>
      </c>
      <c r="AK92" s="14">
        <f t="shared" si="60"/>
        <v>0</v>
      </c>
      <c r="AL92" s="14">
        <f t="shared" si="61"/>
        <v>0</v>
      </c>
      <c r="AN92" s="28">
        <v>21</v>
      </c>
      <c r="AO92" s="28">
        <f>H92*0.0831509846827133</f>
        <v>0</v>
      </c>
      <c r="AP92" s="28">
        <f>H92*(1-0.0831509846827133)</f>
        <v>0</v>
      </c>
      <c r="AQ92" s="24" t="s">
        <v>7</v>
      </c>
      <c r="AV92" s="28">
        <f t="shared" si="64"/>
        <v>0</v>
      </c>
      <c r="AW92" s="28">
        <f t="shared" si="65"/>
        <v>0</v>
      </c>
      <c r="AX92" s="28">
        <f t="shared" si="66"/>
        <v>0</v>
      </c>
      <c r="AY92" s="29" t="s">
        <v>524</v>
      </c>
      <c r="AZ92" s="29" t="s">
        <v>541</v>
      </c>
      <c r="BA92" s="23" t="s">
        <v>546</v>
      </c>
      <c r="BC92" s="28">
        <f t="shared" si="67"/>
        <v>0</v>
      </c>
      <c r="BD92" s="28">
        <f t="shared" si="68"/>
        <v>0</v>
      </c>
      <c r="BE92" s="28">
        <v>0</v>
      </c>
      <c r="BF92" s="28">
        <f>92</f>
        <v>92</v>
      </c>
      <c r="BH92" s="14">
        <f t="shared" si="69"/>
        <v>0</v>
      </c>
      <c r="BI92" s="14">
        <f t="shared" si="70"/>
        <v>0</v>
      </c>
      <c r="BJ92" s="14">
        <f t="shared" si="71"/>
        <v>0</v>
      </c>
    </row>
    <row r="93" spans="1:62" x14ac:dyDescent="0.2">
      <c r="A93" s="4" t="s">
        <v>77</v>
      </c>
      <c r="B93" s="4" t="s">
        <v>218</v>
      </c>
      <c r="C93" s="113" t="s">
        <v>384</v>
      </c>
      <c r="D93" s="114"/>
      <c r="E93" s="114"/>
      <c r="F93" s="4" t="s">
        <v>486</v>
      </c>
      <c r="G93" s="59">
        <v>10.035</v>
      </c>
      <c r="H93" s="14">
        <v>0</v>
      </c>
      <c r="I93" s="14">
        <f t="shared" si="48"/>
        <v>0</v>
      </c>
      <c r="J93" s="14">
        <f t="shared" si="49"/>
        <v>0</v>
      </c>
      <c r="K93" s="14">
        <f t="shared" si="50"/>
        <v>0</v>
      </c>
      <c r="L93" s="24" t="s">
        <v>505</v>
      </c>
      <c r="Z93" s="28">
        <f t="shared" si="51"/>
        <v>0</v>
      </c>
      <c r="AB93" s="28">
        <f t="shared" si="52"/>
        <v>0</v>
      </c>
      <c r="AC93" s="28">
        <f t="shared" si="53"/>
        <v>0</v>
      </c>
      <c r="AD93" s="28">
        <f t="shared" si="54"/>
        <v>0</v>
      </c>
      <c r="AE93" s="28">
        <f t="shared" si="55"/>
        <v>0</v>
      </c>
      <c r="AF93" s="28">
        <f t="shared" si="56"/>
        <v>0</v>
      </c>
      <c r="AG93" s="28">
        <f t="shared" si="57"/>
        <v>0</v>
      </c>
      <c r="AH93" s="28">
        <f t="shared" si="58"/>
        <v>0</v>
      </c>
      <c r="AI93" s="23" t="s">
        <v>515</v>
      </c>
      <c r="AJ93" s="14">
        <f t="shared" si="59"/>
        <v>0</v>
      </c>
      <c r="AK93" s="14">
        <f t="shared" si="60"/>
        <v>0</v>
      </c>
      <c r="AL93" s="14">
        <f t="shared" si="61"/>
        <v>0</v>
      </c>
      <c r="AN93" s="28">
        <v>21</v>
      </c>
      <c r="AO93" s="28">
        <f>H93*0</f>
        <v>0</v>
      </c>
      <c r="AP93" s="28">
        <f>H93*(1-0)</f>
        <v>0</v>
      </c>
      <c r="AQ93" s="24" t="s">
        <v>7</v>
      </c>
      <c r="AV93" s="28">
        <f t="shared" si="64"/>
        <v>0</v>
      </c>
      <c r="AW93" s="28">
        <f t="shared" si="65"/>
        <v>0</v>
      </c>
      <c r="AX93" s="28">
        <f t="shared" si="66"/>
        <v>0</v>
      </c>
      <c r="AY93" s="29" t="s">
        <v>524</v>
      </c>
      <c r="AZ93" s="29" t="s">
        <v>541</v>
      </c>
      <c r="BA93" s="23" t="s">
        <v>546</v>
      </c>
      <c r="BC93" s="28">
        <f t="shared" si="67"/>
        <v>0</v>
      </c>
      <c r="BD93" s="28">
        <f t="shared" si="68"/>
        <v>0</v>
      </c>
      <c r="BE93" s="28">
        <v>0</v>
      </c>
      <c r="BF93" s="28">
        <f>93</f>
        <v>93</v>
      </c>
      <c r="BH93" s="14">
        <f t="shared" si="69"/>
        <v>0</v>
      </c>
      <c r="BI93" s="14">
        <f t="shared" si="70"/>
        <v>0</v>
      </c>
      <c r="BJ93" s="14">
        <f t="shared" si="71"/>
        <v>0</v>
      </c>
    </row>
    <row r="94" spans="1:62" x14ac:dyDescent="0.2">
      <c r="A94" s="4" t="s">
        <v>78</v>
      </c>
      <c r="B94" s="4" t="s">
        <v>219</v>
      </c>
      <c r="C94" s="113" t="s">
        <v>385</v>
      </c>
      <c r="D94" s="114"/>
      <c r="E94" s="114"/>
      <c r="F94" s="4" t="s">
        <v>484</v>
      </c>
      <c r="G94" s="59">
        <v>1</v>
      </c>
      <c r="H94" s="14">
        <v>0</v>
      </c>
      <c r="I94" s="14">
        <f t="shared" si="48"/>
        <v>0</v>
      </c>
      <c r="J94" s="14">
        <f t="shared" si="49"/>
        <v>0</v>
      </c>
      <c r="K94" s="14">
        <f t="shared" si="50"/>
        <v>0</v>
      </c>
      <c r="L94" s="24" t="s">
        <v>505</v>
      </c>
      <c r="Z94" s="28">
        <f t="shared" si="51"/>
        <v>0</v>
      </c>
      <c r="AB94" s="28">
        <f t="shared" si="52"/>
        <v>0</v>
      </c>
      <c r="AC94" s="28">
        <f t="shared" si="53"/>
        <v>0</v>
      </c>
      <c r="AD94" s="28">
        <f t="shared" si="54"/>
        <v>0</v>
      </c>
      <c r="AE94" s="28">
        <f t="shared" si="55"/>
        <v>0</v>
      </c>
      <c r="AF94" s="28">
        <f t="shared" si="56"/>
        <v>0</v>
      </c>
      <c r="AG94" s="28">
        <f t="shared" si="57"/>
        <v>0</v>
      </c>
      <c r="AH94" s="28">
        <f t="shared" si="58"/>
        <v>0</v>
      </c>
      <c r="AI94" s="23" t="s">
        <v>515</v>
      </c>
      <c r="AJ94" s="14">
        <f t="shared" si="59"/>
        <v>0</v>
      </c>
      <c r="AK94" s="14">
        <f t="shared" si="60"/>
        <v>0</v>
      </c>
      <c r="AL94" s="14">
        <f t="shared" si="61"/>
        <v>0</v>
      </c>
      <c r="AN94" s="28">
        <v>21</v>
      </c>
      <c r="AO94" s="28">
        <f>H94*0.185506666666667</f>
        <v>0</v>
      </c>
      <c r="AP94" s="28">
        <f>H94*(1-0.185506666666667)</f>
        <v>0</v>
      </c>
      <c r="AQ94" s="24" t="s">
        <v>7</v>
      </c>
      <c r="AV94" s="28">
        <f t="shared" si="64"/>
        <v>0</v>
      </c>
      <c r="AW94" s="28">
        <f t="shared" si="65"/>
        <v>0</v>
      </c>
      <c r="AX94" s="28">
        <f t="shared" si="66"/>
        <v>0</v>
      </c>
      <c r="AY94" s="29" t="s">
        <v>524</v>
      </c>
      <c r="AZ94" s="29" t="s">
        <v>541</v>
      </c>
      <c r="BA94" s="23" t="s">
        <v>546</v>
      </c>
      <c r="BC94" s="28">
        <f t="shared" si="67"/>
        <v>0</v>
      </c>
      <c r="BD94" s="28">
        <f t="shared" si="68"/>
        <v>0</v>
      </c>
      <c r="BE94" s="28">
        <v>0</v>
      </c>
      <c r="BF94" s="28">
        <f>94</f>
        <v>94</v>
      </c>
      <c r="BH94" s="14">
        <f t="shared" si="69"/>
        <v>0</v>
      </c>
      <c r="BI94" s="14">
        <f t="shared" si="70"/>
        <v>0</v>
      </c>
      <c r="BJ94" s="14">
        <f t="shared" si="71"/>
        <v>0</v>
      </c>
    </row>
    <row r="95" spans="1:62" x14ac:dyDescent="0.2">
      <c r="A95" s="4" t="s">
        <v>79</v>
      </c>
      <c r="B95" s="4" t="s">
        <v>220</v>
      </c>
      <c r="C95" s="113" t="s">
        <v>386</v>
      </c>
      <c r="D95" s="114"/>
      <c r="E95" s="114"/>
      <c r="F95" s="4" t="s">
        <v>484</v>
      </c>
      <c r="G95" s="59">
        <v>1</v>
      </c>
      <c r="H95" s="14">
        <v>0</v>
      </c>
      <c r="I95" s="14">
        <f t="shared" si="48"/>
        <v>0</v>
      </c>
      <c r="J95" s="14">
        <f t="shared" si="49"/>
        <v>0</v>
      </c>
      <c r="K95" s="14">
        <f t="shared" si="50"/>
        <v>0</v>
      </c>
      <c r="L95" s="24" t="s">
        <v>505</v>
      </c>
      <c r="Z95" s="28">
        <f t="shared" si="51"/>
        <v>0</v>
      </c>
      <c r="AB95" s="28">
        <f t="shared" si="52"/>
        <v>0</v>
      </c>
      <c r="AC95" s="28">
        <f t="shared" si="53"/>
        <v>0</v>
      </c>
      <c r="AD95" s="28">
        <f t="shared" si="54"/>
        <v>0</v>
      </c>
      <c r="AE95" s="28">
        <f t="shared" si="55"/>
        <v>0</v>
      </c>
      <c r="AF95" s="28">
        <f t="shared" si="56"/>
        <v>0</v>
      </c>
      <c r="AG95" s="28">
        <f t="shared" si="57"/>
        <v>0</v>
      </c>
      <c r="AH95" s="28">
        <f t="shared" si="58"/>
        <v>0</v>
      </c>
      <c r="AI95" s="23" t="s">
        <v>515</v>
      </c>
      <c r="AJ95" s="14">
        <f t="shared" si="59"/>
        <v>0</v>
      </c>
      <c r="AK95" s="14">
        <f t="shared" si="60"/>
        <v>0</v>
      </c>
      <c r="AL95" s="14">
        <f t="shared" si="61"/>
        <v>0</v>
      </c>
      <c r="AN95" s="28">
        <v>21</v>
      </c>
      <c r="AO95" s="28">
        <f>H95*0.185503333333333</f>
        <v>0</v>
      </c>
      <c r="AP95" s="28">
        <f>H95*(1-0.185503333333333)</f>
        <v>0</v>
      </c>
      <c r="AQ95" s="24" t="s">
        <v>7</v>
      </c>
      <c r="AV95" s="28">
        <f t="shared" si="64"/>
        <v>0</v>
      </c>
      <c r="AW95" s="28">
        <f t="shared" si="65"/>
        <v>0</v>
      </c>
      <c r="AX95" s="28">
        <f t="shared" si="66"/>
        <v>0</v>
      </c>
      <c r="AY95" s="29" t="s">
        <v>524</v>
      </c>
      <c r="AZ95" s="29" t="s">
        <v>541</v>
      </c>
      <c r="BA95" s="23" t="s">
        <v>546</v>
      </c>
      <c r="BC95" s="28">
        <f t="shared" si="67"/>
        <v>0</v>
      </c>
      <c r="BD95" s="28">
        <f t="shared" si="68"/>
        <v>0</v>
      </c>
      <c r="BE95" s="28">
        <v>0</v>
      </c>
      <c r="BF95" s="28">
        <f>95</f>
        <v>95</v>
      </c>
      <c r="BH95" s="14">
        <f t="shared" si="69"/>
        <v>0</v>
      </c>
      <c r="BI95" s="14">
        <f t="shared" si="70"/>
        <v>0</v>
      </c>
      <c r="BJ95" s="14">
        <f t="shared" si="71"/>
        <v>0</v>
      </c>
    </row>
    <row r="96" spans="1:62" ht="64.150000000000006" customHeight="1" x14ac:dyDescent="0.2">
      <c r="B96" s="11"/>
      <c r="C96" s="118" t="s">
        <v>387</v>
      </c>
      <c r="D96" s="119"/>
      <c r="E96" s="119"/>
      <c r="F96" s="119"/>
      <c r="G96" s="119"/>
      <c r="H96" s="119"/>
      <c r="I96" s="119"/>
      <c r="J96" s="119"/>
      <c r="K96" s="119"/>
      <c r="L96" s="119"/>
    </row>
    <row r="97" spans="1:62" x14ac:dyDescent="0.2">
      <c r="A97" s="4" t="s">
        <v>80</v>
      </c>
      <c r="B97" s="4" t="s">
        <v>221</v>
      </c>
      <c r="C97" s="113" t="s">
        <v>388</v>
      </c>
      <c r="D97" s="114"/>
      <c r="E97" s="114"/>
      <c r="F97" s="4" t="s">
        <v>484</v>
      </c>
      <c r="G97" s="59">
        <v>1</v>
      </c>
      <c r="H97" s="14">
        <v>0</v>
      </c>
      <c r="I97" s="14">
        <f>G97*AO97</f>
        <v>0</v>
      </c>
      <c r="J97" s="14">
        <f>G97*AP97</f>
        <v>0</v>
      </c>
      <c r="K97" s="14">
        <f>G97*H97</f>
        <v>0</v>
      </c>
      <c r="L97" s="24" t="s">
        <v>505</v>
      </c>
      <c r="Z97" s="28">
        <f>IF(AQ97="5",BJ97,0)</f>
        <v>0</v>
      </c>
      <c r="AB97" s="28">
        <f>IF(AQ97="1",BH97,0)</f>
        <v>0</v>
      </c>
      <c r="AC97" s="28">
        <f>IF(AQ97="1",BI97,0)</f>
        <v>0</v>
      </c>
      <c r="AD97" s="28">
        <f>IF(AQ97="7",BH97,0)</f>
        <v>0</v>
      </c>
      <c r="AE97" s="28">
        <f>IF(AQ97="7",BI97,0)</f>
        <v>0</v>
      </c>
      <c r="AF97" s="28">
        <f>IF(AQ97="2",BH97,0)</f>
        <v>0</v>
      </c>
      <c r="AG97" s="28">
        <f>IF(AQ97="2",BI97,0)</f>
        <v>0</v>
      </c>
      <c r="AH97" s="28">
        <f>IF(AQ97="0",BJ97,0)</f>
        <v>0</v>
      </c>
      <c r="AI97" s="23" t="s">
        <v>515</v>
      </c>
      <c r="AJ97" s="14">
        <f>IF(AN97=0,K97,0)</f>
        <v>0</v>
      </c>
      <c r="AK97" s="14">
        <f>IF(AN97=15,K97,0)</f>
        <v>0</v>
      </c>
      <c r="AL97" s="14">
        <f>IF(AN97=21,K97,0)</f>
        <v>0</v>
      </c>
      <c r="AN97" s="28">
        <v>21</v>
      </c>
      <c r="AO97" s="28">
        <f>H97*0.0747228571428571</f>
        <v>0</v>
      </c>
      <c r="AP97" s="28">
        <f>H97*(1-0.0747228571428571)</f>
        <v>0</v>
      </c>
      <c r="AQ97" s="24" t="s">
        <v>7</v>
      </c>
      <c r="AV97" s="28">
        <f>AW97+AX97</f>
        <v>0</v>
      </c>
      <c r="AW97" s="28">
        <f>G97*AO97</f>
        <v>0</v>
      </c>
      <c r="AX97" s="28">
        <f>G97*AP97</f>
        <v>0</v>
      </c>
      <c r="AY97" s="29" t="s">
        <v>524</v>
      </c>
      <c r="AZ97" s="29" t="s">
        <v>541</v>
      </c>
      <c r="BA97" s="23" t="s">
        <v>546</v>
      </c>
      <c r="BC97" s="28">
        <f>AW97+AX97</f>
        <v>0</v>
      </c>
      <c r="BD97" s="28">
        <f>H97/(100-BE97)*100</f>
        <v>0</v>
      </c>
      <c r="BE97" s="28">
        <v>0</v>
      </c>
      <c r="BF97" s="28">
        <f>97</f>
        <v>97</v>
      </c>
      <c r="BH97" s="14">
        <f>G97*AO97</f>
        <v>0</v>
      </c>
      <c r="BI97" s="14">
        <f>G97*AP97</f>
        <v>0</v>
      </c>
      <c r="BJ97" s="14">
        <f>G97*H97</f>
        <v>0</v>
      </c>
    </row>
    <row r="98" spans="1:62" x14ac:dyDescent="0.2">
      <c r="A98" s="4" t="s">
        <v>81</v>
      </c>
      <c r="B98" s="4" t="s">
        <v>222</v>
      </c>
      <c r="C98" s="113" t="s">
        <v>389</v>
      </c>
      <c r="D98" s="114"/>
      <c r="E98" s="114"/>
      <c r="F98" s="4" t="s">
        <v>484</v>
      </c>
      <c r="G98" s="59">
        <v>1</v>
      </c>
      <c r="H98" s="14">
        <v>0</v>
      </c>
      <c r="I98" s="14">
        <f>G98*AO98</f>
        <v>0</v>
      </c>
      <c r="J98" s="14">
        <f>G98*AP98</f>
        <v>0</v>
      </c>
      <c r="K98" s="14">
        <f>G98*H98</f>
        <v>0</v>
      </c>
      <c r="L98" s="24" t="s">
        <v>505</v>
      </c>
      <c r="Z98" s="28">
        <f>IF(AQ98="5",BJ98,0)</f>
        <v>0</v>
      </c>
      <c r="AB98" s="28">
        <f>IF(AQ98="1",BH98,0)</f>
        <v>0</v>
      </c>
      <c r="AC98" s="28">
        <f>IF(AQ98="1",BI98,0)</f>
        <v>0</v>
      </c>
      <c r="AD98" s="28">
        <f>IF(AQ98="7",BH98,0)</f>
        <v>0</v>
      </c>
      <c r="AE98" s="28">
        <f>IF(AQ98="7",BI98,0)</f>
        <v>0</v>
      </c>
      <c r="AF98" s="28">
        <f>IF(AQ98="2",BH98,0)</f>
        <v>0</v>
      </c>
      <c r="AG98" s="28">
        <f>IF(AQ98="2",BI98,0)</f>
        <v>0</v>
      </c>
      <c r="AH98" s="28">
        <f>IF(AQ98="0",BJ98,0)</f>
        <v>0</v>
      </c>
      <c r="AI98" s="23" t="s">
        <v>515</v>
      </c>
      <c r="AJ98" s="14">
        <f>IF(AN98=0,K98,0)</f>
        <v>0</v>
      </c>
      <c r="AK98" s="14">
        <f>IF(AN98=15,K98,0)</f>
        <v>0</v>
      </c>
      <c r="AL98" s="14">
        <f>IF(AN98=21,K98,0)</f>
        <v>0</v>
      </c>
      <c r="AN98" s="28">
        <v>21</v>
      </c>
      <c r="AO98" s="28">
        <f>H98*0.0747236842105263</f>
        <v>0</v>
      </c>
      <c r="AP98" s="28">
        <f>H98*(1-0.0747236842105263)</f>
        <v>0</v>
      </c>
      <c r="AQ98" s="24" t="s">
        <v>7</v>
      </c>
      <c r="AV98" s="28">
        <f>AW98+AX98</f>
        <v>0</v>
      </c>
      <c r="AW98" s="28">
        <f>G98*AO98</f>
        <v>0</v>
      </c>
      <c r="AX98" s="28">
        <f>G98*AP98</f>
        <v>0</v>
      </c>
      <c r="AY98" s="29" t="s">
        <v>524</v>
      </c>
      <c r="AZ98" s="29" t="s">
        <v>541</v>
      </c>
      <c r="BA98" s="23" t="s">
        <v>546</v>
      </c>
      <c r="BC98" s="28">
        <f>AW98+AX98</f>
        <v>0</v>
      </c>
      <c r="BD98" s="28">
        <f>H98/(100-BE98)*100</f>
        <v>0</v>
      </c>
      <c r="BE98" s="28">
        <v>0</v>
      </c>
      <c r="BF98" s="28">
        <f>98</f>
        <v>98</v>
      </c>
      <c r="BH98" s="14">
        <f>G98*AO98</f>
        <v>0</v>
      </c>
      <c r="BI98" s="14">
        <f>G98*AP98</f>
        <v>0</v>
      </c>
      <c r="BJ98" s="14">
        <f>G98*H98</f>
        <v>0</v>
      </c>
    </row>
    <row r="99" spans="1:62" x14ac:dyDescent="0.2">
      <c r="A99" s="4" t="s">
        <v>82</v>
      </c>
      <c r="B99" s="4" t="s">
        <v>223</v>
      </c>
      <c r="C99" s="113" t="s">
        <v>390</v>
      </c>
      <c r="D99" s="114"/>
      <c r="E99" s="114"/>
      <c r="F99" s="4" t="s">
        <v>484</v>
      </c>
      <c r="G99" s="59">
        <v>1</v>
      </c>
      <c r="H99" s="14">
        <v>0</v>
      </c>
      <c r="I99" s="14">
        <f>G99*AO99</f>
        <v>0</v>
      </c>
      <c r="J99" s="14">
        <f>G99*AP99</f>
        <v>0</v>
      </c>
      <c r="K99" s="14">
        <f>G99*H99</f>
        <v>0</v>
      </c>
      <c r="L99" s="24" t="s">
        <v>505</v>
      </c>
      <c r="Z99" s="28">
        <f>IF(AQ99="5",BJ99,0)</f>
        <v>0</v>
      </c>
      <c r="AB99" s="28">
        <f>IF(AQ99="1",BH99,0)</f>
        <v>0</v>
      </c>
      <c r="AC99" s="28">
        <f>IF(AQ99="1",BI99,0)</f>
        <v>0</v>
      </c>
      <c r="AD99" s="28">
        <f>IF(AQ99="7",BH99,0)</f>
        <v>0</v>
      </c>
      <c r="AE99" s="28">
        <f>IF(AQ99="7",BI99,0)</f>
        <v>0</v>
      </c>
      <c r="AF99" s="28">
        <f>IF(AQ99="2",BH99,0)</f>
        <v>0</v>
      </c>
      <c r="AG99" s="28">
        <f>IF(AQ99="2",BI99,0)</f>
        <v>0</v>
      </c>
      <c r="AH99" s="28">
        <f>IF(AQ99="0",BJ99,0)</f>
        <v>0</v>
      </c>
      <c r="AI99" s="23" t="s">
        <v>515</v>
      </c>
      <c r="AJ99" s="14">
        <f>IF(AN99=0,K99,0)</f>
        <v>0</v>
      </c>
      <c r="AK99" s="14">
        <f>IF(AN99=15,K99,0)</f>
        <v>0</v>
      </c>
      <c r="AL99" s="14">
        <f>IF(AN99=21,K99,0)</f>
        <v>0</v>
      </c>
      <c r="AN99" s="28">
        <v>21</v>
      </c>
      <c r="AO99" s="28">
        <f>H99*0.07472125</f>
        <v>0</v>
      </c>
      <c r="AP99" s="28">
        <f>H99*(1-0.07472125)</f>
        <v>0</v>
      </c>
      <c r="AQ99" s="24" t="s">
        <v>7</v>
      </c>
      <c r="AV99" s="28">
        <f>AW99+AX99</f>
        <v>0</v>
      </c>
      <c r="AW99" s="28">
        <f>G99*AO99</f>
        <v>0</v>
      </c>
      <c r="AX99" s="28">
        <f>G99*AP99</f>
        <v>0</v>
      </c>
      <c r="AY99" s="29" t="s">
        <v>524</v>
      </c>
      <c r="AZ99" s="29" t="s">
        <v>541</v>
      </c>
      <c r="BA99" s="23" t="s">
        <v>546</v>
      </c>
      <c r="BC99" s="28">
        <f>AW99+AX99</f>
        <v>0</v>
      </c>
      <c r="BD99" s="28">
        <f>H99/(100-BE99)*100</f>
        <v>0</v>
      </c>
      <c r="BE99" s="28">
        <v>0</v>
      </c>
      <c r="BF99" s="28">
        <f>99</f>
        <v>99</v>
      </c>
      <c r="BH99" s="14">
        <f>G99*AO99</f>
        <v>0</v>
      </c>
      <c r="BI99" s="14">
        <f>G99*AP99</f>
        <v>0</v>
      </c>
      <c r="BJ99" s="14">
        <f>G99*H99</f>
        <v>0</v>
      </c>
    </row>
    <row r="100" spans="1:62" ht="38.450000000000003" customHeight="1" x14ac:dyDescent="0.2">
      <c r="B100" s="11"/>
      <c r="C100" s="118" t="s">
        <v>391</v>
      </c>
      <c r="D100" s="119"/>
      <c r="E100" s="119"/>
      <c r="F100" s="119"/>
      <c r="G100" s="119"/>
      <c r="H100" s="119"/>
      <c r="I100" s="119"/>
      <c r="J100" s="119"/>
      <c r="K100" s="119"/>
      <c r="L100" s="119"/>
    </row>
    <row r="101" spans="1:62" x14ac:dyDescent="0.2">
      <c r="A101" s="4" t="s">
        <v>83</v>
      </c>
      <c r="B101" s="4" t="s">
        <v>224</v>
      </c>
      <c r="C101" s="113" t="s">
        <v>392</v>
      </c>
      <c r="D101" s="114"/>
      <c r="E101" s="114"/>
      <c r="F101" s="4" t="s">
        <v>484</v>
      </c>
      <c r="G101" s="59">
        <v>1</v>
      </c>
      <c r="H101" s="14">
        <v>0</v>
      </c>
      <c r="I101" s="14">
        <f>G101*AO101</f>
        <v>0</v>
      </c>
      <c r="J101" s="14">
        <f>G101*AP101</f>
        <v>0</v>
      </c>
      <c r="K101" s="14">
        <f>G101*H101</f>
        <v>0</v>
      </c>
      <c r="L101" s="24" t="s">
        <v>505</v>
      </c>
      <c r="Z101" s="28">
        <f>IF(AQ101="5",BJ101,0)</f>
        <v>0</v>
      </c>
      <c r="AB101" s="28">
        <f>IF(AQ101="1",BH101,0)</f>
        <v>0</v>
      </c>
      <c r="AC101" s="28">
        <f>IF(AQ101="1",BI101,0)</f>
        <v>0</v>
      </c>
      <c r="AD101" s="28">
        <f>IF(AQ101="7",BH101,0)</f>
        <v>0</v>
      </c>
      <c r="AE101" s="28">
        <f>IF(AQ101="7",BI101,0)</f>
        <v>0</v>
      </c>
      <c r="AF101" s="28">
        <f>IF(AQ101="2",BH101,0)</f>
        <v>0</v>
      </c>
      <c r="AG101" s="28">
        <f>IF(AQ101="2",BI101,0)</f>
        <v>0</v>
      </c>
      <c r="AH101" s="28">
        <f>IF(AQ101="0",BJ101,0)</f>
        <v>0</v>
      </c>
      <c r="AI101" s="23" t="s">
        <v>515</v>
      </c>
      <c r="AJ101" s="14">
        <f>IF(AN101=0,K101,0)</f>
        <v>0</v>
      </c>
      <c r="AK101" s="14">
        <f>IF(AN101=15,K101,0)</f>
        <v>0</v>
      </c>
      <c r="AL101" s="14">
        <f>IF(AN101=21,K101,0)</f>
        <v>0</v>
      </c>
      <c r="AN101" s="28">
        <v>21</v>
      </c>
      <c r="AO101" s="28">
        <f>H101*0.185505714285714</f>
        <v>0</v>
      </c>
      <c r="AP101" s="28">
        <f>H101*(1-0.185505714285714)</f>
        <v>0</v>
      </c>
      <c r="AQ101" s="24" t="s">
        <v>7</v>
      </c>
      <c r="AV101" s="28">
        <f>AW101+AX101</f>
        <v>0</v>
      </c>
      <c r="AW101" s="28">
        <f>G101*AO101</f>
        <v>0</v>
      </c>
      <c r="AX101" s="28">
        <f>G101*AP101</f>
        <v>0</v>
      </c>
      <c r="AY101" s="29" t="s">
        <v>524</v>
      </c>
      <c r="AZ101" s="29" t="s">
        <v>541</v>
      </c>
      <c r="BA101" s="23" t="s">
        <v>546</v>
      </c>
      <c r="BC101" s="28">
        <f>AW101+AX101</f>
        <v>0</v>
      </c>
      <c r="BD101" s="28">
        <f>H101/(100-BE101)*100</f>
        <v>0</v>
      </c>
      <c r="BE101" s="28">
        <v>0</v>
      </c>
      <c r="BF101" s="28">
        <f>101</f>
        <v>101</v>
      </c>
      <c r="BH101" s="14">
        <f>G101*AO101</f>
        <v>0</v>
      </c>
      <c r="BI101" s="14">
        <f>G101*AP101</f>
        <v>0</v>
      </c>
      <c r="BJ101" s="14">
        <f>G101*H101</f>
        <v>0</v>
      </c>
    </row>
    <row r="102" spans="1:62" x14ac:dyDescent="0.2">
      <c r="A102" s="4" t="s">
        <v>84</v>
      </c>
      <c r="B102" s="4" t="s">
        <v>225</v>
      </c>
      <c r="C102" s="113" t="s">
        <v>393</v>
      </c>
      <c r="D102" s="114"/>
      <c r="E102" s="114"/>
      <c r="F102" s="4" t="s">
        <v>484</v>
      </c>
      <c r="G102" s="59">
        <v>1</v>
      </c>
      <c r="H102" s="14">
        <v>0</v>
      </c>
      <c r="I102" s="14">
        <f>G102*AO102</f>
        <v>0</v>
      </c>
      <c r="J102" s="14">
        <f>G102*AP102</f>
        <v>0</v>
      </c>
      <c r="K102" s="14">
        <f>G102*H102</f>
        <v>0</v>
      </c>
      <c r="L102" s="24" t="s">
        <v>505</v>
      </c>
      <c r="Z102" s="28">
        <f>IF(AQ102="5",BJ102,0)</f>
        <v>0</v>
      </c>
      <c r="AB102" s="28">
        <f>IF(AQ102="1",BH102,0)</f>
        <v>0</v>
      </c>
      <c r="AC102" s="28">
        <f>IF(AQ102="1",BI102,0)</f>
        <v>0</v>
      </c>
      <c r="AD102" s="28">
        <f>IF(AQ102="7",BH102,0)</f>
        <v>0</v>
      </c>
      <c r="AE102" s="28">
        <f>IF(AQ102="7",BI102,0)</f>
        <v>0</v>
      </c>
      <c r="AF102" s="28">
        <f>IF(AQ102="2",BH102,0)</f>
        <v>0</v>
      </c>
      <c r="AG102" s="28">
        <f>IF(AQ102="2",BI102,0)</f>
        <v>0</v>
      </c>
      <c r="AH102" s="28">
        <f>IF(AQ102="0",BJ102,0)</f>
        <v>0</v>
      </c>
      <c r="AI102" s="23" t="s">
        <v>515</v>
      </c>
      <c r="AJ102" s="14">
        <f>IF(AN102=0,K102,0)</f>
        <v>0</v>
      </c>
      <c r="AK102" s="14">
        <f>IF(AN102=15,K102,0)</f>
        <v>0</v>
      </c>
      <c r="AL102" s="14">
        <f>IF(AN102=21,K102,0)</f>
        <v>0</v>
      </c>
      <c r="AN102" s="28">
        <v>21</v>
      </c>
      <c r="AO102" s="28">
        <f>H102*0.18550625</f>
        <v>0</v>
      </c>
      <c r="AP102" s="28">
        <f>H102*(1-0.18550625)</f>
        <v>0</v>
      </c>
      <c r="AQ102" s="24" t="s">
        <v>7</v>
      </c>
      <c r="AV102" s="28">
        <f>AW102+AX102</f>
        <v>0</v>
      </c>
      <c r="AW102" s="28">
        <f>G102*AO102</f>
        <v>0</v>
      </c>
      <c r="AX102" s="28">
        <f>G102*AP102</f>
        <v>0</v>
      </c>
      <c r="AY102" s="29" t="s">
        <v>524</v>
      </c>
      <c r="AZ102" s="29" t="s">
        <v>541</v>
      </c>
      <c r="BA102" s="23" t="s">
        <v>546</v>
      </c>
      <c r="BC102" s="28">
        <f>AW102+AX102</f>
        <v>0</v>
      </c>
      <c r="BD102" s="28">
        <f>H102/(100-BE102)*100</f>
        <v>0</v>
      </c>
      <c r="BE102" s="28">
        <v>0</v>
      </c>
      <c r="BF102" s="28">
        <f>102</f>
        <v>102</v>
      </c>
      <c r="BH102" s="14">
        <f>G102*AO102</f>
        <v>0</v>
      </c>
      <c r="BI102" s="14">
        <f>G102*AP102</f>
        <v>0</v>
      </c>
      <c r="BJ102" s="14">
        <f>G102*H102</f>
        <v>0</v>
      </c>
    </row>
    <row r="103" spans="1:62" ht="51.4" customHeight="1" x14ac:dyDescent="0.2">
      <c r="B103" s="11"/>
      <c r="C103" s="118" t="s">
        <v>394</v>
      </c>
      <c r="D103" s="119"/>
      <c r="E103" s="119"/>
      <c r="F103" s="119"/>
      <c r="G103" s="119"/>
      <c r="H103" s="119"/>
      <c r="I103" s="119"/>
      <c r="J103" s="119"/>
      <c r="K103" s="119"/>
      <c r="L103" s="119"/>
    </row>
    <row r="104" spans="1:62" x14ac:dyDescent="0.2">
      <c r="A104" s="4" t="s">
        <v>85</v>
      </c>
      <c r="B104" s="4" t="s">
        <v>226</v>
      </c>
      <c r="C104" s="113" t="s">
        <v>395</v>
      </c>
      <c r="D104" s="114"/>
      <c r="E104" s="114"/>
      <c r="F104" s="4" t="s">
        <v>484</v>
      </c>
      <c r="G104" s="59">
        <v>1</v>
      </c>
      <c r="H104" s="14">
        <v>0</v>
      </c>
      <c r="I104" s="14">
        <f>G104*AO104</f>
        <v>0</v>
      </c>
      <c r="J104" s="14">
        <f>G104*AP104</f>
        <v>0</v>
      </c>
      <c r="K104" s="14">
        <f>G104*H104</f>
        <v>0</v>
      </c>
      <c r="L104" s="24" t="s">
        <v>505</v>
      </c>
      <c r="Z104" s="28">
        <f>IF(AQ104="5",BJ104,0)</f>
        <v>0</v>
      </c>
      <c r="AB104" s="28">
        <f>IF(AQ104="1",BH104,0)</f>
        <v>0</v>
      </c>
      <c r="AC104" s="28">
        <f>IF(AQ104="1",BI104,0)</f>
        <v>0</v>
      </c>
      <c r="AD104" s="28">
        <f>IF(AQ104="7",BH104,0)</f>
        <v>0</v>
      </c>
      <c r="AE104" s="28">
        <f>IF(AQ104="7",BI104,0)</f>
        <v>0</v>
      </c>
      <c r="AF104" s="28">
        <f>IF(AQ104="2",BH104,0)</f>
        <v>0</v>
      </c>
      <c r="AG104" s="28">
        <f>IF(AQ104="2",BI104,0)</f>
        <v>0</v>
      </c>
      <c r="AH104" s="28">
        <f>IF(AQ104="0",BJ104,0)</f>
        <v>0</v>
      </c>
      <c r="AI104" s="23" t="s">
        <v>515</v>
      </c>
      <c r="AJ104" s="14">
        <f>IF(AN104=0,K104,0)</f>
        <v>0</v>
      </c>
      <c r="AK104" s="14">
        <f>IF(AN104=15,K104,0)</f>
        <v>0</v>
      </c>
      <c r="AL104" s="14">
        <f>IF(AN104=21,K104,0)</f>
        <v>0</v>
      </c>
      <c r="AN104" s="28">
        <v>21</v>
      </c>
      <c r="AO104" s="28">
        <f>H104*0.1855075</f>
        <v>0</v>
      </c>
      <c r="AP104" s="28">
        <f>H104*(1-0.1855075)</f>
        <v>0</v>
      </c>
      <c r="AQ104" s="24" t="s">
        <v>7</v>
      </c>
      <c r="AV104" s="28">
        <f>AW104+AX104</f>
        <v>0</v>
      </c>
      <c r="AW104" s="28">
        <f>G104*AO104</f>
        <v>0</v>
      </c>
      <c r="AX104" s="28">
        <f>G104*AP104</f>
        <v>0</v>
      </c>
      <c r="AY104" s="29" t="s">
        <v>524</v>
      </c>
      <c r="AZ104" s="29" t="s">
        <v>541</v>
      </c>
      <c r="BA104" s="23" t="s">
        <v>546</v>
      </c>
      <c r="BC104" s="28">
        <f>AW104+AX104</f>
        <v>0</v>
      </c>
      <c r="BD104" s="28">
        <f>H104/(100-BE104)*100</f>
        <v>0</v>
      </c>
      <c r="BE104" s="28">
        <v>0</v>
      </c>
      <c r="BF104" s="28">
        <f>104</f>
        <v>104</v>
      </c>
      <c r="BH104" s="14">
        <f>G104*AO104</f>
        <v>0</v>
      </c>
      <c r="BI104" s="14">
        <f>G104*AP104</f>
        <v>0</v>
      </c>
      <c r="BJ104" s="14">
        <f>G104*H104</f>
        <v>0</v>
      </c>
    </row>
    <row r="105" spans="1:62" ht="38.450000000000003" customHeight="1" x14ac:dyDescent="0.2">
      <c r="B105" s="11"/>
      <c r="C105" s="118" t="s">
        <v>396</v>
      </c>
      <c r="D105" s="119"/>
      <c r="E105" s="119"/>
      <c r="F105" s="119"/>
      <c r="G105" s="119"/>
      <c r="H105" s="119"/>
      <c r="I105" s="119"/>
      <c r="J105" s="119"/>
      <c r="K105" s="119"/>
      <c r="L105" s="119"/>
    </row>
    <row r="106" spans="1:62" x14ac:dyDescent="0.2">
      <c r="A106" s="3"/>
      <c r="B106" s="10" t="s">
        <v>103</v>
      </c>
      <c r="C106" s="120" t="s">
        <v>397</v>
      </c>
      <c r="D106" s="121"/>
      <c r="E106" s="121"/>
      <c r="F106" s="3" t="s">
        <v>6</v>
      </c>
      <c r="G106" s="3" t="s">
        <v>6</v>
      </c>
      <c r="H106" s="3" t="s">
        <v>6</v>
      </c>
      <c r="I106" s="30">
        <f>SUM(I107:I112)</f>
        <v>0</v>
      </c>
      <c r="J106" s="30">
        <f>SUM(J107:J112)</f>
        <v>0</v>
      </c>
      <c r="K106" s="30">
        <f>SUM(K107:K112)</f>
        <v>0</v>
      </c>
      <c r="L106" s="23"/>
      <c r="AI106" s="23" t="s">
        <v>515</v>
      </c>
      <c r="AS106" s="30">
        <f>SUM(AJ107:AJ112)</f>
        <v>0</v>
      </c>
      <c r="AT106" s="30">
        <f>SUM(AK107:AK112)</f>
        <v>0</v>
      </c>
      <c r="AU106" s="30">
        <f>SUM(AL107:AL112)</f>
        <v>0</v>
      </c>
    </row>
    <row r="107" spans="1:62" x14ac:dyDescent="0.2">
      <c r="A107" s="4" t="s">
        <v>86</v>
      </c>
      <c r="B107" s="4" t="s">
        <v>227</v>
      </c>
      <c r="C107" s="113" t="s">
        <v>398</v>
      </c>
      <c r="D107" s="114"/>
      <c r="E107" s="114"/>
      <c r="F107" s="4" t="s">
        <v>486</v>
      </c>
      <c r="G107" s="59">
        <v>313.16000000000003</v>
      </c>
      <c r="H107" s="14">
        <v>0</v>
      </c>
      <c r="I107" s="14">
        <f t="shared" ref="I107:I112" si="72">G107*AO107</f>
        <v>0</v>
      </c>
      <c r="J107" s="14">
        <f t="shared" ref="J107:J112" si="73">G107*AP107</f>
        <v>0</v>
      </c>
      <c r="K107" s="14">
        <f t="shared" ref="K107:K112" si="74">G107*H107</f>
        <v>0</v>
      </c>
      <c r="L107" s="24" t="s">
        <v>505</v>
      </c>
      <c r="Z107" s="28">
        <f t="shared" ref="Z107:Z112" si="75">IF(AQ107="5",BJ107,0)</f>
        <v>0</v>
      </c>
      <c r="AB107" s="28">
        <f t="shared" ref="AB107:AB112" si="76">IF(AQ107="1",BH107,0)</f>
        <v>0</v>
      </c>
      <c r="AC107" s="28">
        <f t="shared" ref="AC107:AC112" si="77">IF(AQ107="1",BI107,0)</f>
        <v>0</v>
      </c>
      <c r="AD107" s="28">
        <f t="shared" ref="AD107:AD112" si="78">IF(AQ107="7",BH107,0)</f>
        <v>0</v>
      </c>
      <c r="AE107" s="28">
        <f t="shared" ref="AE107:AE112" si="79">IF(AQ107="7",BI107,0)</f>
        <v>0</v>
      </c>
      <c r="AF107" s="28">
        <f t="shared" ref="AF107:AF112" si="80">IF(AQ107="2",BH107,0)</f>
        <v>0</v>
      </c>
      <c r="AG107" s="28">
        <f t="shared" ref="AG107:AG112" si="81">IF(AQ107="2",BI107,0)</f>
        <v>0</v>
      </c>
      <c r="AH107" s="28">
        <f t="shared" ref="AH107:AH112" si="82">IF(AQ107="0",BJ107,0)</f>
        <v>0</v>
      </c>
      <c r="AI107" s="23" t="s">
        <v>515</v>
      </c>
      <c r="AJ107" s="14">
        <f t="shared" ref="AJ107:AJ112" si="83">IF(AN107=0,K107,0)</f>
        <v>0</v>
      </c>
      <c r="AK107" s="14">
        <f t="shared" ref="AK107:AK112" si="84">IF(AN107=15,K107,0)</f>
        <v>0</v>
      </c>
      <c r="AL107" s="14">
        <f t="shared" ref="AL107:AL112" si="85">IF(AN107=21,K107,0)</f>
        <v>0</v>
      </c>
      <c r="AN107" s="28">
        <v>21</v>
      </c>
      <c r="AO107" s="28">
        <f t="shared" ref="AO107:AO112" si="86">H107*0</f>
        <v>0</v>
      </c>
      <c r="AP107" s="28">
        <f t="shared" ref="AP107:AP112" si="87">H107*(1-0)</f>
        <v>0</v>
      </c>
      <c r="AQ107" s="24" t="s">
        <v>7</v>
      </c>
      <c r="AV107" s="28">
        <f t="shared" ref="AV107:AV112" si="88">AW107+AX107</f>
        <v>0</v>
      </c>
      <c r="AW107" s="28">
        <f t="shared" ref="AW107:AW112" si="89">G107*AO107</f>
        <v>0</v>
      </c>
      <c r="AX107" s="28">
        <f t="shared" ref="AX107:AX112" si="90">G107*AP107</f>
        <v>0</v>
      </c>
      <c r="AY107" s="29" t="s">
        <v>525</v>
      </c>
      <c r="AZ107" s="29" t="s">
        <v>541</v>
      </c>
      <c r="BA107" s="23" t="s">
        <v>546</v>
      </c>
      <c r="BC107" s="28">
        <f t="shared" ref="BC107:BC112" si="91">AW107+AX107</f>
        <v>0</v>
      </c>
      <c r="BD107" s="28">
        <f t="shared" ref="BD107:BD112" si="92">H107/(100-BE107)*100</f>
        <v>0</v>
      </c>
      <c r="BE107" s="28">
        <v>0</v>
      </c>
      <c r="BF107" s="28">
        <f>107</f>
        <v>107</v>
      </c>
      <c r="BH107" s="14">
        <f t="shared" ref="BH107:BH112" si="93">G107*AO107</f>
        <v>0</v>
      </c>
      <c r="BI107" s="14">
        <f t="shared" ref="BI107:BI112" si="94">G107*AP107</f>
        <v>0</v>
      </c>
      <c r="BJ107" s="14">
        <f t="shared" ref="BJ107:BJ112" si="95">G107*H107</f>
        <v>0</v>
      </c>
    </row>
    <row r="108" spans="1:62" x14ac:dyDescent="0.2">
      <c r="A108" s="4" t="s">
        <v>87</v>
      </c>
      <c r="B108" s="4" t="s">
        <v>228</v>
      </c>
      <c r="C108" s="113" t="s">
        <v>399</v>
      </c>
      <c r="D108" s="114"/>
      <c r="E108" s="114"/>
      <c r="F108" s="4" t="s">
        <v>486</v>
      </c>
      <c r="G108" s="59">
        <v>578.17499999999995</v>
      </c>
      <c r="H108" s="14">
        <v>0</v>
      </c>
      <c r="I108" s="14">
        <f t="shared" si="72"/>
        <v>0</v>
      </c>
      <c r="J108" s="14">
        <f t="shared" si="73"/>
        <v>0</v>
      </c>
      <c r="K108" s="14">
        <f t="shared" si="74"/>
        <v>0</v>
      </c>
      <c r="L108" s="24" t="s">
        <v>505</v>
      </c>
      <c r="Z108" s="28">
        <f t="shared" si="75"/>
        <v>0</v>
      </c>
      <c r="AB108" s="28">
        <f t="shared" si="76"/>
        <v>0</v>
      </c>
      <c r="AC108" s="28">
        <f t="shared" si="77"/>
        <v>0</v>
      </c>
      <c r="AD108" s="28">
        <f t="shared" si="78"/>
        <v>0</v>
      </c>
      <c r="AE108" s="28">
        <f t="shared" si="79"/>
        <v>0</v>
      </c>
      <c r="AF108" s="28">
        <f t="shared" si="80"/>
        <v>0</v>
      </c>
      <c r="AG108" s="28">
        <f t="shared" si="81"/>
        <v>0</v>
      </c>
      <c r="AH108" s="28">
        <f t="shared" si="82"/>
        <v>0</v>
      </c>
      <c r="AI108" s="23" t="s">
        <v>515</v>
      </c>
      <c r="AJ108" s="14">
        <f t="shared" si="83"/>
        <v>0</v>
      </c>
      <c r="AK108" s="14">
        <f t="shared" si="84"/>
        <v>0</v>
      </c>
      <c r="AL108" s="14">
        <f t="shared" si="85"/>
        <v>0</v>
      </c>
      <c r="AN108" s="28">
        <v>21</v>
      </c>
      <c r="AO108" s="28">
        <f t="shared" si="86"/>
        <v>0</v>
      </c>
      <c r="AP108" s="28">
        <f t="shared" si="87"/>
        <v>0</v>
      </c>
      <c r="AQ108" s="24" t="s">
        <v>7</v>
      </c>
      <c r="AV108" s="28">
        <f t="shared" si="88"/>
        <v>0</v>
      </c>
      <c r="AW108" s="28">
        <f t="shared" si="89"/>
        <v>0</v>
      </c>
      <c r="AX108" s="28">
        <f t="shared" si="90"/>
        <v>0</v>
      </c>
      <c r="AY108" s="29" t="s">
        <v>525</v>
      </c>
      <c r="AZ108" s="29" t="s">
        <v>541</v>
      </c>
      <c r="BA108" s="23" t="s">
        <v>546</v>
      </c>
      <c r="BC108" s="28">
        <f t="shared" si="91"/>
        <v>0</v>
      </c>
      <c r="BD108" s="28">
        <f t="shared" si="92"/>
        <v>0</v>
      </c>
      <c r="BE108" s="28">
        <v>0</v>
      </c>
      <c r="BF108" s="28">
        <f>108</f>
        <v>108</v>
      </c>
      <c r="BH108" s="14">
        <f t="shared" si="93"/>
        <v>0</v>
      </c>
      <c r="BI108" s="14">
        <f t="shared" si="94"/>
        <v>0</v>
      </c>
      <c r="BJ108" s="14">
        <f t="shared" si="95"/>
        <v>0</v>
      </c>
    </row>
    <row r="109" spans="1:62" x14ac:dyDescent="0.2">
      <c r="A109" s="4" t="s">
        <v>88</v>
      </c>
      <c r="B109" s="4" t="s">
        <v>229</v>
      </c>
      <c r="C109" s="113" t="s">
        <v>400</v>
      </c>
      <c r="D109" s="114"/>
      <c r="E109" s="114"/>
      <c r="F109" s="4" t="s">
        <v>486</v>
      </c>
      <c r="G109" s="59">
        <v>147.78299999999999</v>
      </c>
      <c r="H109" s="14">
        <v>0</v>
      </c>
      <c r="I109" s="14">
        <f t="shared" si="72"/>
        <v>0</v>
      </c>
      <c r="J109" s="14">
        <f t="shared" si="73"/>
        <v>0</v>
      </c>
      <c r="K109" s="14">
        <f t="shared" si="74"/>
        <v>0</v>
      </c>
      <c r="L109" s="24" t="s">
        <v>505</v>
      </c>
      <c r="Z109" s="28">
        <f t="shared" si="75"/>
        <v>0</v>
      </c>
      <c r="AB109" s="28">
        <f t="shared" si="76"/>
        <v>0</v>
      </c>
      <c r="AC109" s="28">
        <f t="shared" si="77"/>
        <v>0</v>
      </c>
      <c r="AD109" s="28">
        <f t="shared" si="78"/>
        <v>0</v>
      </c>
      <c r="AE109" s="28">
        <f t="shared" si="79"/>
        <v>0</v>
      </c>
      <c r="AF109" s="28">
        <f t="shared" si="80"/>
        <v>0</v>
      </c>
      <c r="AG109" s="28">
        <f t="shared" si="81"/>
        <v>0</v>
      </c>
      <c r="AH109" s="28">
        <f t="shared" si="82"/>
        <v>0</v>
      </c>
      <c r="AI109" s="23" t="s">
        <v>515</v>
      </c>
      <c r="AJ109" s="14">
        <f t="shared" si="83"/>
        <v>0</v>
      </c>
      <c r="AK109" s="14">
        <f t="shared" si="84"/>
        <v>0</v>
      </c>
      <c r="AL109" s="14">
        <f t="shared" si="85"/>
        <v>0</v>
      </c>
      <c r="AN109" s="28">
        <v>21</v>
      </c>
      <c r="AO109" s="28">
        <f t="shared" si="86"/>
        <v>0</v>
      </c>
      <c r="AP109" s="28">
        <f t="shared" si="87"/>
        <v>0</v>
      </c>
      <c r="AQ109" s="24" t="s">
        <v>7</v>
      </c>
      <c r="AV109" s="28">
        <f t="shared" si="88"/>
        <v>0</v>
      </c>
      <c r="AW109" s="28">
        <f t="shared" si="89"/>
        <v>0</v>
      </c>
      <c r="AX109" s="28">
        <f t="shared" si="90"/>
        <v>0</v>
      </c>
      <c r="AY109" s="29" t="s">
        <v>525</v>
      </c>
      <c r="AZ109" s="29" t="s">
        <v>541</v>
      </c>
      <c r="BA109" s="23" t="s">
        <v>546</v>
      </c>
      <c r="BC109" s="28">
        <f t="shared" si="91"/>
        <v>0</v>
      </c>
      <c r="BD109" s="28">
        <f t="shared" si="92"/>
        <v>0</v>
      </c>
      <c r="BE109" s="28">
        <v>0</v>
      </c>
      <c r="BF109" s="28">
        <f>109</f>
        <v>109</v>
      </c>
      <c r="BH109" s="14">
        <f t="shared" si="93"/>
        <v>0</v>
      </c>
      <c r="BI109" s="14">
        <f t="shared" si="94"/>
        <v>0</v>
      </c>
      <c r="BJ109" s="14">
        <f t="shared" si="95"/>
        <v>0</v>
      </c>
    </row>
    <row r="110" spans="1:62" x14ac:dyDescent="0.2">
      <c r="A110" s="4" t="s">
        <v>89</v>
      </c>
      <c r="B110" s="4" t="s">
        <v>230</v>
      </c>
      <c r="C110" s="113" t="s">
        <v>401</v>
      </c>
      <c r="D110" s="114"/>
      <c r="E110" s="114"/>
      <c r="F110" s="4" t="s">
        <v>486</v>
      </c>
      <c r="G110" s="59">
        <v>14.7</v>
      </c>
      <c r="H110" s="14">
        <v>0</v>
      </c>
      <c r="I110" s="14">
        <f t="shared" si="72"/>
        <v>0</v>
      </c>
      <c r="J110" s="14">
        <f t="shared" si="73"/>
        <v>0</v>
      </c>
      <c r="K110" s="14">
        <f t="shared" si="74"/>
        <v>0</v>
      </c>
      <c r="L110" s="24" t="s">
        <v>505</v>
      </c>
      <c r="Z110" s="28">
        <f t="shared" si="75"/>
        <v>0</v>
      </c>
      <c r="AB110" s="28">
        <f t="shared" si="76"/>
        <v>0</v>
      </c>
      <c r="AC110" s="28">
        <f t="shared" si="77"/>
        <v>0</v>
      </c>
      <c r="AD110" s="28">
        <f t="shared" si="78"/>
        <v>0</v>
      </c>
      <c r="AE110" s="28">
        <f t="shared" si="79"/>
        <v>0</v>
      </c>
      <c r="AF110" s="28">
        <f t="shared" si="80"/>
        <v>0</v>
      </c>
      <c r="AG110" s="28">
        <f t="shared" si="81"/>
        <v>0</v>
      </c>
      <c r="AH110" s="28">
        <f t="shared" si="82"/>
        <v>0</v>
      </c>
      <c r="AI110" s="23" t="s">
        <v>515</v>
      </c>
      <c r="AJ110" s="14">
        <f t="shared" si="83"/>
        <v>0</v>
      </c>
      <c r="AK110" s="14">
        <f t="shared" si="84"/>
        <v>0</v>
      </c>
      <c r="AL110" s="14">
        <f t="shared" si="85"/>
        <v>0</v>
      </c>
      <c r="AN110" s="28">
        <v>21</v>
      </c>
      <c r="AO110" s="28">
        <f t="shared" si="86"/>
        <v>0</v>
      </c>
      <c r="AP110" s="28">
        <f t="shared" si="87"/>
        <v>0</v>
      </c>
      <c r="AQ110" s="24" t="s">
        <v>7</v>
      </c>
      <c r="AV110" s="28">
        <f t="shared" si="88"/>
        <v>0</v>
      </c>
      <c r="AW110" s="28">
        <f t="shared" si="89"/>
        <v>0</v>
      </c>
      <c r="AX110" s="28">
        <f t="shared" si="90"/>
        <v>0</v>
      </c>
      <c r="AY110" s="29" t="s">
        <v>525</v>
      </c>
      <c r="AZ110" s="29" t="s">
        <v>541</v>
      </c>
      <c r="BA110" s="23" t="s">
        <v>546</v>
      </c>
      <c r="BC110" s="28">
        <f t="shared" si="91"/>
        <v>0</v>
      </c>
      <c r="BD110" s="28">
        <f t="shared" si="92"/>
        <v>0</v>
      </c>
      <c r="BE110" s="28">
        <v>0</v>
      </c>
      <c r="BF110" s="28">
        <f>110</f>
        <v>110</v>
      </c>
      <c r="BH110" s="14">
        <f t="shared" si="93"/>
        <v>0</v>
      </c>
      <c r="BI110" s="14">
        <f t="shared" si="94"/>
        <v>0</v>
      </c>
      <c r="BJ110" s="14">
        <f t="shared" si="95"/>
        <v>0</v>
      </c>
    </row>
    <row r="111" spans="1:62" x14ac:dyDescent="0.2">
      <c r="A111" s="4" t="s">
        <v>90</v>
      </c>
      <c r="B111" s="4" t="s">
        <v>231</v>
      </c>
      <c r="C111" s="113" t="s">
        <v>402</v>
      </c>
      <c r="D111" s="114"/>
      <c r="E111" s="114"/>
      <c r="F111" s="4" t="s">
        <v>486</v>
      </c>
      <c r="G111" s="59">
        <v>37.429000000000002</v>
      </c>
      <c r="H111" s="14">
        <v>0</v>
      </c>
      <c r="I111" s="14">
        <f t="shared" si="72"/>
        <v>0</v>
      </c>
      <c r="J111" s="14">
        <f t="shared" si="73"/>
        <v>0</v>
      </c>
      <c r="K111" s="14">
        <f t="shared" si="74"/>
        <v>0</v>
      </c>
      <c r="L111" s="24" t="s">
        <v>505</v>
      </c>
      <c r="Z111" s="28">
        <f t="shared" si="75"/>
        <v>0</v>
      </c>
      <c r="AB111" s="28">
        <f t="shared" si="76"/>
        <v>0</v>
      </c>
      <c r="AC111" s="28">
        <f t="shared" si="77"/>
        <v>0</v>
      </c>
      <c r="AD111" s="28">
        <f t="shared" si="78"/>
        <v>0</v>
      </c>
      <c r="AE111" s="28">
        <f t="shared" si="79"/>
        <v>0</v>
      </c>
      <c r="AF111" s="28">
        <f t="shared" si="80"/>
        <v>0</v>
      </c>
      <c r="AG111" s="28">
        <f t="shared" si="81"/>
        <v>0</v>
      </c>
      <c r="AH111" s="28">
        <f t="shared" si="82"/>
        <v>0</v>
      </c>
      <c r="AI111" s="23" t="s">
        <v>515</v>
      </c>
      <c r="AJ111" s="14">
        <f t="shared" si="83"/>
        <v>0</v>
      </c>
      <c r="AK111" s="14">
        <f t="shared" si="84"/>
        <v>0</v>
      </c>
      <c r="AL111" s="14">
        <f t="shared" si="85"/>
        <v>0</v>
      </c>
      <c r="AN111" s="28">
        <v>21</v>
      </c>
      <c r="AO111" s="28">
        <f t="shared" si="86"/>
        <v>0</v>
      </c>
      <c r="AP111" s="28">
        <f t="shared" si="87"/>
        <v>0</v>
      </c>
      <c r="AQ111" s="24" t="s">
        <v>7</v>
      </c>
      <c r="AV111" s="28">
        <f t="shared" si="88"/>
        <v>0</v>
      </c>
      <c r="AW111" s="28">
        <f t="shared" si="89"/>
        <v>0</v>
      </c>
      <c r="AX111" s="28">
        <f t="shared" si="90"/>
        <v>0</v>
      </c>
      <c r="AY111" s="29" t="s">
        <v>525</v>
      </c>
      <c r="AZ111" s="29" t="s">
        <v>541</v>
      </c>
      <c r="BA111" s="23" t="s">
        <v>546</v>
      </c>
      <c r="BC111" s="28">
        <f t="shared" si="91"/>
        <v>0</v>
      </c>
      <c r="BD111" s="28">
        <f t="shared" si="92"/>
        <v>0</v>
      </c>
      <c r="BE111" s="28">
        <v>0</v>
      </c>
      <c r="BF111" s="28">
        <f>111</f>
        <v>111</v>
      </c>
      <c r="BH111" s="14">
        <f t="shared" si="93"/>
        <v>0</v>
      </c>
      <c r="BI111" s="14">
        <f t="shared" si="94"/>
        <v>0</v>
      </c>
      <c r="BJ111" s="14">
        <f t="shared" si="95"/>
        <v>0</v>
      </c>
    </row>
    <row r="112" spans="1:62" x14ac:dyDescent="0.2">
      <c r="A112" s="4" t="s">
        <v>91</v>
      </c>
      <c r="B112" s="4" t="s">
        <v>232</v>
      </c>
      <c r="C112" s="113" t="s">
        <v>403</v>
      </c>
      <c r="D112" s="114"/>
      <c r="E112" s="114"/>
      <c r="F112" s="4" t="s">
        <v>486</v>
      </c>
      <c r="G112" s="59">
        <v>45</v>
      </c>
      <c r="H112" s="14">
        <v>0</v>
      </c>
      <c r="I112" s="14">
        <f t="shared" si="72"/>
        <v>0</v>
      </c>
      <c r="J112" s="14">
        <f t="shared" si="73"/>
        <v>0</v>
      </c>
      <c r="K112" s="14">
        <f t="shared" si="74"/>
        <v>0</v>
      </c>
      <c r="L112" s="24" t="s">
        <v>505</v>
      </c>
      <c r="Z112" s="28">
        <f t="shared" si="75"/>
        <v>0</v>
      </c>
      <c r="AB112" s="28">
        <f t="shared" si="76"/>
        <v>0</v>
      </c>
      <c r="AC112" s="28">
        <f t="shared" si="77"/>
        <v>0</v>
      </c>
      <c r="AD112" s="28">
        <f t="shared" si="78"/>
        <v>0</v>
      </c>
      <c r="AE112" s="28">
        <f t="shared" si="79"/>
        <v>0</v>
      </c>
      <c r="AF112" s="28">
        <f t="shared" si="80"/>
        <v>0</v>
      </c>
      <c r="AG112" s="28">
        <f t="shared" si="81"/>
        <v>0</v>
      </c>
      <c r="AH112" s="28">
        <f t="shared" si="82"/>
        <v>0</v>
      </c>
      <c r="AI112" s="23" t="s">
        <v>515</v>
      </c>
      <c r="AJ112" s="14">
        <f t="shared" si="83"/>
        <v>0</v>
      </c>
      <c r="AK112" s="14">
        <f t="shared" si="84"/>
        <v>0</v>
      </c>
      <c r="AL112" s="14">
        <f t="shared" si="85"/>
        <v>0</v>
      </c>
      <c r="AN112" s="28">
        <v>21</v>
      </c>
      <c r="AO112" s="28">
        <f t="shared" si="86"/>
        <v>0</v>
      </c>
      <c r="AP112" s="28">
        <f t="shared" si="87"/>
        <v>0</v>
      </c>
      <c r="AQ112" s="24" t="s">
        <v>7</v>
      </c>
      <c r="AV112" s="28">
        <f t="shared" si="88"/>
        <v>0</v>
      </c>
      <c r="AW112" s="28">
        <f t="shared" si="89"/>
        <v>0</v>
      </c>
      <c r="AX112" s="28">
        <f t="shared" si="90"/>
        <v>0</v>
      </c>
      <c r="AY112" s="29" t="s">
        <v>525</v>
      </c>
      <c r="AZ112" s="29" t="s">
        <v>541</v>
      </c>
      <c r="BA112" s="23" t="s">
        <v>546</v>
      </c>
      <c r="BC112" s="28">
        <f t="shared" si="91"/>
        <v>0</v>
      </c>
      <c r="BD112" s="28">
        <f t="shared" si="92"/>
        <v>0</v>
      </c>
      <c r="BE112" s="28">
        <v>0</v>
      </c>
      <c r="BF112" s="28">
        <f>112</f>
        <v>112</v>
      </c>
      <c r="BH112" s="14">
        <f t="shared" si="93"/>
        <v>0</v>
      </c>
      <c r="BI112" s="14">
        <f t="shared" si="94"/>
        <v>0</v>
      </c>
      <c r="BJ112" s="14">
        <f t="shared" si="95"/>
        <v>0</v>
      </c>
    </row>
    <row r="113" spans="1:62" x14ac:dyDescent="0.2">
      <c r="A113" s="3"/>
      <c r="B113" s="10" t="s">
        <v>233</v>
      </c>
      <c r="C113" s="120" t="s">
        <v>404</v>
      </c>
      <c r="D113" s="121"/>
      <c r="E113" s="121"/>
      <c r="F113" s="3" t="s">
        <v>6</v>
      </c>
      <c r="G113" s="3" t="s">
        <v>6</v>
      </c>
      <c r="H113" s="3" t="s">
        <v>6</v>
      </c>
      <c r="I113" s="30">
        <f>SUM(I114:I114)</f>
        <v>0</v>
      </c>
      <c r="J113" s="30">
        <f>SUM(J114:J114)</f>
        <v>0</v>
      </c>
      <c r="K113" s="30">
        <f>SUM(K114:K114)</f>
        <v>0</v>
      </c>
      <c r="L113" s="23"/>
      <c r="AI113" s="23" t="s">
        <v>515</v>
      </c>
      <c r="AS113" s="30">
        <f>SUM(AJ114:AJ114)</f>
        <v>0</v>
      </c>
      <c r="AT113" s="30">
        <f>SUM(AK114:AK114)</f>
        <v>0</v>
      </c>
      <c r="AU113" s="30">
        <f>SUM(AL114:AL114)</f>
        <v>0</v>
      </c>
    </row>
    <row r="114" spans="1:62" x14ac:dyDescent="0.2">
      <c r="A114" s="4" t="s">
        <v>92</v>
      </c>
      <c r="B114" s="4" t="s">
        <v>234</v>
      </c>
      <c r="C114" s="113" t="s">
        <v>405</v>
      </c>
      <c r="D114" s="114"/>
      <c r="E114" s="114"/>
      <c r="F114" s="4" t="s">
        <v>488</v>
      </c>
      <c r="G114" s="59">
        <v>3.3260000000000001</v>
      </c>
      <c r="H114" s="14">
        <v>0</v>
      </c>
      <c r="I114" s="14">
        <f>G114*AO114</f>
        <v>0</v>
      </c>
      <c r="J114" s="14">
        <f>G114*AP114</f>
        <v>0</v>
      </c>
      <c r="K114" s="14">
        <f>G114*H114</f>
        <v>0</v>
      </c>
      <c r="L114" s="24" t="s">
        <v>505</v>
      </c>
      <c r="Z114" s="28">
        <f>IF(AQ114="5",BJ114,0)</f>
        <v>0</v>
      </c>
      <c r="AB114" s="28">
        <f>IF(AQ114="1",BH114,0)</f>
        <v>0</v>
      </c>
      <c r="AC114" s="28">
        <f>IF(AQ114="1",BI114,0)</f>
        <v>0</v>
      </c>
      <c r="AD114" s="28">
        <f>IF(AQ114="7",BH114,0)</f>
        <v>0</v>
      </c>
      <c r="AE114" s="28">
        <f>IF(AQ114="7",BI114,0)</f>
        <v>0</v>
      </c>
      <c r="AF114" s="28">
        <f>IF(AQ114="2",BH114,0)</f>
        <v>0</v>
      </c>
      <c r="AG114" s="28">
        <f>IF(AQ114="2",BI114,0)</f>
        <v>0</v>
      </c>
      <c r="AH114" s="28">
        <f>IF(AQ114="0",BJ114,0)</f>
        <v>0</v>
      </c>
      <c r="AI114" s="23" t="s">
        <v>515</v>
      </c>
      <c r="AJ114" s="14">
        <f>IF(AN114=0,K114,0)</f>
        <v>0</v>
      </c>
      <c r="AK114" s="14">
        <f>IF(AN114=15,K114,0)</f>
        <v>0</v>
      </c>
      <c r="AL114" s="14">
        <f>IF(AN114=21,K114,0)</f>
        <v>0</v>
      </c>
      <c r="AN114" s="28">
        <v>21</v>
      </c>
      <c r="AO114" s="28">
        <f>H114*0</f>
        <v>0</v>
      </c>
      <c r="AP114" s="28">
        <f>H114*(1-0)</f>
        <v>0</v>
      </c>
      <c r="AQ114" s="24" t="s">
        <v>11</v>
      </c>
      <c r="AV114" s="28">
        <f>AW114+AX114</f>
        <v>0</v>
      </c>
      <c r="AW114" s="28">
        <f>G114*AO114</f>
        <v>0</v>
      </c>
      <c r="AX114" s="28">
        <f>G114*AP114</f>
        <v>0</v>
      </c>
      <c r="AY114" s="29" t="s">
        <v>526</v>
      </c>
      <c r="AZ114" s="29" t="s">
        <v>541</v>
      </c>
      <c r="BA114" s="23" t="s">
        <v>546</v>
      </c>
      <c r="BC114" s="28">
        <f>AW114+AX114</f>
        <v>0</v>
      </c>
      <c r="BD114" s="28">
        <f>H114/(100-BE114)*100</f>
        <v>0</v>
      </c>
      <c r="BE114" s="28">
        <v>0</v>
      </c>
      <c r="BF114" s="28">
        <f>114</f>
        <v>114</v>
      </c>
      <c r="BH114" s="14">
        <f>G114*AO114</f>
        <v>0</v>
      </c>
      <c r="BI114" s="14">
        <f>G114*AP114</f>
        <v>0</v>
      </c>
      <c r="BJ114" s="14">
        <f>G114*H114</f>
        <v>0</v>
      </c>
    </row>
    <row r="115" spans="1:62" x14ac:dyDescent="0.2">
      <c r="A115" s="3"/>
      <c r="B115" s="10" t="s">
        <v>235</v>
      </c>
      <c r="C115" s="120" t="s">
        <v>406</v>
      </c>
      <c r="D115" s="121"/>
      <c r="E115" s="121"/>
      <c r="F115" s="3" t="s">
        <v>6</v>
      </c>
      <c r="G115" s="3" t="s">
        <v>6</v>
      </c>
      <c r="H115" s="3" t="s">
        <v>6</v>
      </c>
      <c r="I115" s="30">
        <f>SUM(I116:I116)</f>
        <v>0</v>
      </c>
      <c r="J115" s="30">
        <f>SUM(J116:J116)</f>
        <v>0</v>
      </c>
      <c r="K115" s="30">
        <f>SUM(K116:K116)</f>
        <v>0</v>
      </c>
      <c r="L115" s="23"/>
      <c r="AI115" s="23" t="s">
        <v>515</v>
      </c>
      <c r="AS115" s="30">
        <f>SUM(AJ116:AJ116)</f>
        <v>0</v>
      </c>
      <c r="AT115" s="30">
        <f>SUM(AK116:AK116)</f>
        <v>0</v>
      </c>
      <c r="AU115" s="30">
        <f>SUM(AL116:AL116)</f>
        <v>0</v>
      </c>
    </row>
    <row r="116" spans="1:62" x14ac:dyDescent="0.2">
      <c r="A116" s="4" t="s">
        <v>93</v>
      </c>
      <c r="B116" s="4" t="s">
        <v>236</v>
      </c>
      <c r="C116" s="113" t="s">
        <v>407</v>
      </c>
      <c r="D116" s="114"/>
      <c r="E116" s="114"/>
      <c r="F116" s="4" t="s">
        <v>488</v>
      </c>
      <c r="G116" s="59">
        <v>1.034</v>
      </c>
      <c r="H116" s="14">
        <v>0</v>
      </c>
      <c r="I116" s="14">
        <f>G116*AO116</f>
        <v>0</v>
      </c>
      <c r="J116" s="14">
        <f>G116*AP116</f>
        <v>0</v>
      </c>
      <c r="K116" s="14">
        <f>G116*H116</f>
        <v>0</v>
      </c>
      <c r="L116" s="24" t="s">
        <v>505</v>
      </c>
      <c r="Z116" s="28">
        <f>IF(AQ116="5",BJ116,0)</f>
        <v>0</v>
      </c>
      <c r="AB116" s="28">
        <f>IF(AQ116="1",BH116,0)</f>
        <v>0</v>
      </c>
      <c r="AC116" s="28">
        <f>IF(AQ116="1",BI116,0)</f>
        <v>0</v>
      </c>
      <c r="AD116" s="28">
        <f>IF(AQ116="7",BH116,0)</f>
        <v>0</v>
      </c>
      <c r="AE116" s="28">
        <f>IF(AQ116="7",BI116,0)</f>
        <v>0</v>
      </c>
      <c r="AF116" s="28">
        <f>IF(AQ116="2",BH116,0)</f>
        <v>0</v>
      </c>
      <c r="AG116" s="28">
        <f>IF(AQ116="2",BI116,0)</f>
        <v>0</v>
      </c>
      <c r="AH116" s="28">
        <f>IF(AQ116="0",BJ116,0)</f>
        <v>0</v>
      </c>
      <c r="AI116" s="23" t="s">
        <v>515</v>
      </c>
      <c r="AJ116" s="14">
        <f>IF(AN116=0,K116,0)</f>
        <v>0</v>
      </c>
      <c r="AK116" s="14">
        <f>IF(AN116=15,K116,0)</f>
        <v>0</v>
      </c>
      <c r="AL116" s="14">
        <f>IF(AN116=21,K116,0)</f>
        <v>0</v>
      </c>
      <c r="AN116" s="28">
        <v>21</v>
      </c>
      <c r="AO116" s="28">
        <f>H116*0</f>
        <v>0</v>
      </c>
      <c r="AP116" s="28">
        <f>H116*(1-0)</f>
        <v>0</v>
      </c>
      <c r="AQ116" s="24" t="s">
        <v>11</v>
      </c>
      <c r="AV116" s="28">
        <f>AW116+AX116</f>
        <v>0</v>
      </c>
      <c r="AW116" s="28">
        <f>G116*AO116</f>
        <v>0</v>
      </c>
      <c r="AX116" s="28">
        <f>G116*AP116</f>
        <v>0</v>
      </c>
      <c r="AY116" s="29" t="s">
        <v>527</v>
      </c>
      <c r="AZ116" s="29" t="s">
        <v>541</v>
      </c>
      <c r="BA116" s="23" t="s">
        <v>546</v>
      </c>
      <c r="BC116" s="28">
        <f>AW116+AX116</f>
        <v>0</v>
      </c>
      <c r="BD116" s="28">
        <f>H116/(100-BE116)*100</f>
        <v>0</v>
      </c>
      <c r="BE116" s="28">
        <v>0</v>
      </c>
      <c r="BF116" s="28">
        <f>116</f>
        <v>116</v>
      </c>
      <c r="BH116" s="14">
        <f>G116*AO116</f>
        <v>0</v>
      </c>
      <c r="BI116" s="14">
        <f>G116*AP116</f>
        <v>0</v>
      </c>
      <c r="BJ116" s="14">
        <f>G116*H116</f>
        <v>0</v>
      </c>
    </row>
    <row r="117" spans="1:62" x14ac:dyDescent="0.2">
      <c r="A117" s="3"/>
      <c r="B117" s="10" t="s">
        <v>237</v>
      </c>
      <c r="C117" s="120" t="s">
        <v>408</v>
      </c>
      <c r="D117" s="121"/>
      <c r="E117" s="121"/>
      <c r="F117" s="3" t="s">
        <v>6</v>
      </c>
      <c r="G117" s="3" t="s">
        <v>6</v>
      </c>
      <c r="H117" s="3" t="s">
        <v>6</v>
      </c>
      <c r="I117" s="30">
        <f>SUM(I118:I139)</f>
        <v>0</v>
      </c>
      <c r="J117" s="30">
        <f>SUM(J118:J139)</f>
        <v>0</v>
      </c>
      <c r="K117" s="30">
        <f>SUM(K118:K139)</f>
        <v>0</v>
      </c>
      <c r="L117" s="23"/>
      <c r="AI117" s="23" t="s">
        <v>515</v>
      </c>
      <c r="AS117" s="30">
        <f>SUM(AJ118:AJ139)</f>
        <v>0</v>
      </c>
      <c r="AT117" s="30">
        <f>SUM(AK118:AK139)</f>
        <v>0</v>
      </c>
      <c r="AU117" s="30">
        <f>SUM(AL118:AL139)</f>
        <v>0</v>
      </c>
    </row>
    <row r="118" spans="1:62" x14ac:dyDescent="0.2">
      <c r="A118" s="4" t="s">
        <v>94</v>
      </c>
      <c r="B118" s="4" t="s">
        <v>238</v>
      </c>
      <c r="C118" s="113" t="s">
        <v>409</v>
      </c>
      <c r="D118" s="114"/>
      <c r="E118" s="114"/>
      <c r="F118" s="4" t="s">
        <v>488</v>
      </c>
      <c r="G118" s="59">
        <v>308.71100000000001</v>
      </c>
      <c r="H118" s="14">
        <v>0</v>
      </c>
      <c r="I118" s="14">
        <f t="shared" ref="I118:I139" si="96">G118*AO118</f>
        <v>0</v>
      </c>
      <c r="J118" s="14">
        <f t="shared" ref="J118:J139" si="97">G118*AP118</f>
        <v>0</v>
      </c>
      <c r="K118" s="14">
        <f t="shared" ref="K118:K139" si="98">G118*H118</f>
        <v>0</v>
      </c>
      <c r="L118" s="24" t="s">
        <v>505</v>
      </c>
      <c r="Z118" s="28">
        <f t="shared" ref="Z118:Z139" si="99">IF(AQ118="5",BJ118,0)</f>
        <v>0</v>
      </c>
      <c r="AB118" s="28">
        <f t="shared" ref="AB118:AB139" si="100">IF(AQ118="1",BH118,0)</f>
        <v>0</v>
      </c>
      <c r="AC118" s="28">
        <f t="shared" ref="AC118:AC139" si="101">IF(AQ118="1",BI118,0)</f>
        <v>0</v>
      </c>
      <c r="AD118" s="28">
        <f t="shared" ref="AD118:AD139" si="102">IF(AQ118="7",BH118,0)</f>
        <v>0</v>
      </c>
      <c r="AE118" s="28">
        <f t="shared" ref="AE118:AE139" si="103">IF(AQ118="7",BI118,0)</f>
        <v>0</v>
      </c>
      <c r="AF118" s="28">
        <f t="shared" ref="AF118:AF139" si="104">IF(AQ118="2",BH118,0)</f>
        <v>0</v>
      </c>
      <c r="AG118" s="28">
        <f t="shared" ref="AG118:AG139" si="105">IF(AQ118="2",BI118,0)</f>
        <v>0</v>
      </c>
      <c r="AH118" s="28">
        <f t="shared" ref="AH118:AH139" si="106">IF(AQ118="0",BJ118,0)</f>
        <v>0</v>
      </c>
      <c r="AI118" s="23" t="s">
        <v>515</v>
      </c>
      <c r="AJ118" s="14">
        <f t="shared" ref="AJ118:AJ139" si="107">IF(AN118=0,K118,0)</f>
        <v>0</v>
      </c>
      <c r="AK118" s="14">
        <f t="shared" ref="AK118:AK139" si="108">IF(AN118=15,K118,0)</f>
        <v>0</v>
      </c>
      <c r="AL118" s="14">
        <f t="shared" ref="AL118:AL139" si="109">IF(AN118=21,K118,0)</f>
        <v>0</v>
      </c>
      <c r="AN118" s="28">
        <v>21</v>
      </c>
      <c r="AO118" s="28">
        <f t="shared" ref="AO118:AO139" si="110">H118*0</f>
        <v>0</v>
      </c>
      <c r="AP118" s="28">
        <f t="shared" ref="AP118:AP139" si="111">H118*(1-0)</f>
        <v>0</v>
      </c>
      <c r="AQ118" s="24" t="s">
        <v>11</v>
      </c>
      <c r="AV118" s="28">
        <f t="shared" ref="AV118:AV139" si="112">AW118+AX118</f>
        <v>0</v>
      </c>
      <c r="AW118" s="28">
        <f t="shared" ref="AW118:AW139" si="113">G118*AO118</f>
        <v>0</v>
      </c>
      <c r="AX118" s="28">
        <f t="shared" ref="AX118:AX139" si="114">G118*AP118</f>
        <v>0</v>
      </c>
      <c r="AY118" s="29" t="s">
        <v>528</v>
      </c>
      <c r="AZ118" s="29" t="s">
        <v>541</v>
      </c>
      <c r="BA118" s="23" t="s">
        <v>546</v>
      </c>
      <c r="BC118" s="28">
        <f t="shared" ref="BC118:BC139" si="115">AW118+AX118</f>
        <v>0</v>
      </c>
      <c r="BD118" s="28">
        <f t="shared" ref="BD118:BD139" si="116">H118/(100-BE118)*100</f>
        <v>0</v>
      </c>
      <c r="BE118" s="28">
        <v>0</v>
      </c>
      <c r="BF118" s="28">
        <f>118</f>
        <v>118</v>
      </c>
      <c r="BH118" s="14">
        <f t="shared" ref="BH118:BH139" si="117">G118*AO118</f>
        <v>0</v>
      </c>
      <c r="BI118" s="14">
        <f t="shared" ref="BI118:BI139" si="118">G118*AP118</f>
        <v>0</v>
      </c>
      <c r="BJ118" s="14">
        <f t="shared" ref="BJ118:BJ139" si="119">G118*H118</f>
        <v>0</v>
      </c>
    </row>
    <row r="119" spans="1:62" x14ac:dyDescent="0.2">
      <c r="A119" s="4" t="s">
        <v>95</v>
      </c>
      <c r="B119" s="4" t="s">
        <v>239</v>
      </c>
      <c r="C119" s="113" t="s">
        <v>410</v>
      </c>
      <c r="D119" s="114"/>
      <c r="E119" s="114"/>
      <c r="F119" s="4" t="s">
        <v>488</v>
      </c>
      <c r="G119" s="59">
        <v>995.84100000000001</v>
      </c>
      <c r="H119" s="14">
        <v>0</v>
      </c>
      <c r="I119" s="14">
        <f t="shared" si="96"/>
        <v>0</v>
      </c>
      <c r="J119" s="14">
        <f t="shared" si="97"/>
        <v>0</v>
      </c>
      <c r="K119" s="14">
        <f t="shared" si="98"/>
        <v>0</v>
      </c>
      <c r="L119" s="24" t="s">
        <v>505</v>
      </c>
      <c r="Z119" s="28">
        <f t="shared" si="99"/>
        <v>0</v>
      </c>
      <c r="AB119" s="28">
        <f t="shared" si="100"/>
        <v>0</v>
      </c>
      <c r="AC119" s="28">
        <f t="shared" si="101"/>
        <v>0</v>
      </c>
      <c r="AD119" s="28">
        <f t="shared" si="102"/>
        <v>0</v>
      </c>
      <c r="AE119" s="28">
        <f t="shared" si="103"/>
        <v>0</v>
      </c>
      <c r="AF119" s="28">
        <f t="shared" si="104"/>
        <v>0</v>
      </c>
      <c r="AG119" s="28">
        <f t="shared" si="105"/>
        <v>0</v>
      </c>
      <c r="AH119" s="28">
        <f t="shared" si="106"/>
        <v>0</v>
      </c>
      <c r="AI119" s="23" t="s">
        <v>515</v>
      </c>
      <c r="AJ119" s="14">
        <f t="shared" si="107"/>
        <v>0</v>
      </c>
      <c r="AK119" s="14">
        <f t="shared" si="108"/>
        <v>0</v>
      </c>
      <c r="AL119" s="14">
        <f t="shared" si="109"/>
        <v>0</v>
      </c>
      <c r="AN119" s="28">
        <v>21</v>
      </c>
      <c r="AO119" s="28">
        <f t="shared" si="110"/>
        <v>0</v>
      </c>
      <c r="AP119" s="28">
        <f t="shared" si="111"/>
        <v>0</v>
      </c>
      <c r="AQ119" s="24" t="s">
        <v>11</v>
      </c>
      <c r="AV119" s="28">
        <f t="shared" si="112"/>
        <v>0</v>
      </c>
      <c r="AW119" s="28">
        <f t="shared" si="113"/>
        <v>0</v>
      </c>
      <c r="AX119" s="28">
        <f t="shared" si="114"/>
        <v>0</v>
      </c>
      <c r="AY119" s="29" t="s">
        <v>528</v>
      </c>
      <c r="AZ119" s="29" t="s">
        <v>541</v>
      </c>
      <c r="BA119" s="23" t="s">
        <v>546</v>
      </c>
      <c r="BC119" s="28">
        <f t="shared" si="115"/>
        <v>0</v>
      </c>
      <c r="BD119" s="28">
        <f t="shared" si="116"/>
        <v>0</v>
      </c>
      <c r="BE119" s="28">
        <v>0</v>
      </c>
      <c r="BF119" s="28">
        <f>119</f>
        <v>119</v>
      </c>
      <c r="BH119" s="14">
        <f t="shared" si="117"/>
        <v>0</v>
      </c>
      <c r="BI119" s="14">
        <f t="shared" si="118"/>
        <v>0</v>
      </c>
      <c r="BJ119" s="14">
        <f t="shared" si="119"/>
        <v>0</v>
      </c>
    </row>
    <row r="120" spans="1:62" x14ac:dyDescent="0.2">
      <c r="A120" s="4" t="s">
        <v>96</v>
      </c>
      <c r="B120" s="4" t="s">
        <v>240</v>
      </c>
      <c r="C120" s="113" t="s">
        <v>411</v>
      </c>
      <c r="D120" s="114"/>
      <c r="E120" s="114"/>
      <c r="F120" s="4" t="s">
        <v>488</v>
      </c>
      <c r="G120" s="59">
        <v>8962.5689999999995</v>
      </c>
      <c r="H120" s="14">
        <v>0</v>
      </c>
      <c r="I120" s="14">
        <f t="shared" si="96"/>
        <v>0</v>
      </c>
      <c r="J120" s="14">
        <f t="shared" si="97"/>
        <v>0</v>
      </c>
      <c r="K120" s="14">
        <f t="shared" si="98"/>
        <v>0</v>
      </c>
      <c r="L120" s="24" t="s">
        <v>505</v>
      </c>
      <c r="Z120" s="28">
        <f t="shared" si="99"/>
        <v>0</v>
      </c>
      <c r="AB120" s="28">
        <f t="shared" si="100"/>
        <v>0</v>
      </c>
      <c r="AC120" s="28">
        <f t="shared" si="101"/>
        <v>0</v>
      </c>
      <c r="AD120" s="28">
        <f t="shared" si="102"/>
        <v>0</v>
      </c>
      <c r="AE120" s="28">
        <f t="shared" si="103"/>
        <v>0</v>
      </c>
      <c r="AF120" s="28">
        <f t="shared" si="104"/>
        <v>0</v>
      </c>
      <c r="AG120" s="28">
        <f t="shared" si="105"/>
        <v>0</v>
      </c>
      <c r="AH120" s="28">
        <f t="shared" si="106"/>
        <v>0</v>
      </c>
      <c r="AI120" s="23" t="s">
        <v>515</v>
      </c>
      <c r="AJ120" s="14">
        <f t="shared" si="107"/>
        <v>0</v>
      </c>
      <c r="AK120" s="14">
        <f t="shared" si="108"/>
        <v>0</v>
      </c>
      <c r="AL120" s="14">
        <f t="shared" si="109"/>
        <v>0</v>
      </c>
      <c r="AN120" s="28">
        <v>21</v>
      </c>
      <c r="AO120" s="28">
        <f t="shared" si="110"/>
        <v>0</v>
      </c>
      <c r="AP120" s="28">
        <f t="shared" si="111"/>
        <v>0</v>
      </c>
      <c r="AQ120" s="24" t="s">
        <v>11</v>
      </c>
      <c r="AV120" s="28">
        <f t="shared" si="112"/>
        <v>0</v>
      </c>
      <c r="AW120" s="28">
        <f t="shared" si="113"/>
        <v>0</v>
      </c>
      <c r="AX120" s="28">
        <f t="shared" si="114"/>
        <v>0</v>
      </c>
      <c r="AY120" s="29" t="s">
        <v>528</v>
      </c>
      <c r="AZ120" s="29" t="s">
        <v>541</v>
      </c>
      <c r="BA120" s="23" t="s">
        <v>546</v>
      </c>
      <c r="BC120" s="28">
        <f t="shared" si="115"/>
        <v>0</v>
      </c>
      <c r="BD120" s="28">
        <f t="shared" si="116"/>
        <v>0</v>
      </c>
      <c r="BE120" s="28">
        <v>0</v>
      </c>
      <c r="BF120" s="28">
        <f>120</f>
        <v>120</v>
      </c>
      <c r="BH120" s="14">
        <f t="shared" si="117"/>
        <v>0</v>
      </c>
      <c r="BI120" s="14">
        <f t="shared" si="118"/>
        <v>0</v>
      </c>
      <c r="BJ120" s="14">
        <f t="shared" si="119"/>
        <v>0</v>
      </c>
    </row>
    <row r="121" spans="1:62" x14ac:dyDescent="0.2">
      <c r="A121" s="4" t="s">
        <v>97</v>
      </c>
      <c r="B121" s="4" t="s">
        <v>241</v>
      </c>
      <c r="C121" s="113" t="s">
        <v>412</v>
      </c>
      <c r="D121" s="114"/>
      <c r="E121" s="114"/>
      <c r="F121" s="4" t="s">
        <v>488</v>
      </c>
      <c r="G121" s="59">
        <v>995.84100000000001</v>
      </c>
      <c r="H121" s="14">
        <v>0</v>
      </c>
      <c r="I121" s="14">
        <f t="shared" si="96"/>
        <v>0</v>
      </c>
      <c r="J121" s="14">
        <f t="shared" si="97"/>
        <v>0</v>
      </c>
      <c r="K121" s="14">
        <f t="shared" si="98"/>
        <v>0</v>
      </c>
      <c r="L121" s="24" t="s">
        <v>505</v>
      </c>
      <c r="Z121" s="28">
        <f t="shared" si="99"/>
        <v>0</v>
      </c>
      <c r="AB121" s="28">
        <f t="shared" si="100"/>
        <v>0</v>
      </c>
      <c r="AC121" s="28">
        <f t="shared" si="101"/>
        <v>0</v>
      </c>
      <c r="AD121" s="28">
        <f t="shared" si="102"/>
        <v>0</v>
      </c>
      <c r="AE121" s="28">
        <f t="shared" si="103"/>
        <v>0</v>
      </c>
      <c r="AF121" s="28">
        <f t="shared" si="104"/>
        <v>0</v>
      </c>
      <c r="AG121" s="28">
        <f t="shared" si="105"/>
        <v>0</v>
      </c>
      <c r="AH121" s="28">
        <f t="shared" si="106"/>
        <v>0</v>
      </c>
      <c r="AI121" s="23" t="s">
        <v>515</v>
      </c>
      <c r="AJ121" s="14">
        <f t="shared" si="107"/>
        <v>0</v>
      </c>
      <c r="AK121" s="14">
        <f t="shared" si="108"/>
        <v>0</v>
      </c>
      <c r="AL121" s="14">
        <f t="shared" si="109"/>
        <v>0</v>
      </c>
      <c r="AN121" s="28">
        <v>21</v>
      </c>
      <c r="AO121" s="28">
        <f t="shared" si="110"/>
        <v>0</v>
      </c>
      <c r="AP121" s="28">
        <f t="shared" si="111"/>
        <v>0</v>
      </c>
      <c r="AQ121" s="24" t="s">
        <v>11</v>
      </c>
      <c r="AV121" s="28">
        <f t="shared" si="112"/>
        <v>0</v>
      </c>
      <c r="AW121" s="28">
        <f t="shared" si="113"/>
        <v>0</v>
      </c>
      <c r="AX121" s="28">
        <f t="shared" si="114"/>
        <v>0</v>
      </c>
      <c r="AY121" s="29" t="s">
        <v>528</v>
      </c>
      <c r="AZ121" s="29" t="s">
        <v>541</v>
      </c>
      <c r="BA121" s="23" t="s">
        <v>546</v>
      </c>
      <c r="BC121" s="28">
        <f t="shared" si="115"/>
        <v>0</v>
      </c>
      <c r="BD121" s="28">
        <f t="shared" si="116"/>
        <v>0</v>
      </c>
      <c r="BE121" s="28">
        <v>0</v>
      </c>
      <c r="BF121" s="28">
        <f>121</f>
        <v>121</v>
      </c>
      <c r="BH121" s="14">
        <f t="shared" si="117"/>
        <v>0</v>
      </c>
      <c r="BI121" s="14">
        <f t="shared" si="118"/>
        <v>0</v>
      </c>
      <c r="BJ121" s="14">
        <f t="shared" si="119"/>
        <v>0</v>
      </c>
    </row>
    <row r="122" spans="1:62" x14ac:dyDescent="0.2">
      <c r="A122" s="4" t="s">
        <v>98</v>
      </c>
      <c r="B122" s="4" t="s">
        <v>242</v>
      </c>
      <c r="C122" s="113" t="s">
        <v>413</v>
      </c>
      <c r="D122" s="114"/>
      <c r="E122" s="114"/>
      <c r="F122" s="4" t="s">
        <v>488</v>
      </c>
      <c r="G122" s="59">
        <v>3983.364</v>
      </c>
      <c r="H122" s="14">
        <v>0</v>
      </c>
      <c r="I122" s="14">
        <f t="shared" si="96"/>
        <v>0</v>
      </c>
      <c r="J122" s="14">
        <f t="shared" si="97"/>
        <v>0</v>
      </c>
      <c r="K122" s="14">
        <f t="shared" si="98"/>
        <v>0</v>
      </c>
      <c r="L122" s="24" t="s">
        <v>505</v>
      </c>
      <c r="Z122" s="28">
        <f t="shared" si="99"/>
        <v>0</v>
      </c>
      <c r="AB122" s="28">
        <f t="shared" si="100"/>
        <v>0</v>
      </c>
      <c r="AC122" s="28">
        <f t="shared" si="101"/>
        <v>0</v>
      </c>
      <c r="AD122" s="28">
        <f t="shared" si="102"/>
        <v>0</v>
      </c>
      <c r="AE122" s="28">
        <f t="shared" si="103"/>
        <v>0</v>
      </c>
      <c r="AF122" s="28">
        <f t="shared" si="104"/>
        <v>0</v>
      </c>
      <c r="AG122" s="28">
        <f t="shared" si="105"/>
        <v>0</v>
      </c>
      <c r="AH122" s="28">
        <f t="shared" si="106"/>
        <v>0</v>
      </c>
      <c r="AI122" s="23" t="s">
        <v>515</v>
      </c>
      <c r="AJ122" s="14">
        <f t="shared" si="107"/>
        <v>0</v>
      </c>
      <c r="AK122" s="14">
        <f t="shared" si="108"/>
        <v>0</v>
      </c>
      <c r="AL122" s="14">
        <f t="shared" si="109"/>
        <v>0</v>
      </c>
      <c r="AN122" s="28">
        <v>21</v>
      </c>
      <c r="AO122" s="28">
        <f t="shared" si="110"/>
        <v>0</v>
      </c>
      <c r="AP122" s="28">
        <f t="shared" si="111"/>
        <v>0</v>
      </c>
      <c r="AQ122" s="24" t="s">
        <v>11</v>
      </c>
      <c r="AV122" s="28">
        <f t="shared" si="112"/>
        <v>0</v>
      </c>
      <c r="AW122" s="28">
        <f t="shared" si="113"/>
        <v>0</v>
      </c>
      <c r="AX122" s="28">
        <f t="shared" si="114"/>
        <v>0</v>
      </c>
      <c r="AY122" s="29" t="s">
        <v>528</v>
      </c>
      <c r="AZ122" s="29" t="s">
        <v>541</v>
      </c>
      <c r="BA122" s="23" t="s">
        <v>546</v>
      </c>
      <c r="BC122" s="28">
        <f t="shared" si="115"/>
        <v>0</v>
      </c>
      <c r="BD122" s="28">
        <f t="shared" si="116"/>
        <v>0</v>
      </c>
      <c r="BE122" s="28">
        <v>0</v>
      </c>
      <c r="BF122" s="28">
        <f>122</f>
        <v>122</v>
      </c>
      <c r="BH122" s="14">
        <f t="shared" si="117"/>
        <v>0</v>
      </c>
      <c r="BI122" s="14">
        <f t="shared" si="118"/>
        <v>0</v>
      </c>
      <c r="BJ122" s="14">
        <f t="shared" si="119"/>
        <v>0</v>
      </c>
    </row>
    <row r="123" spans="1:62" x14ac:dyDescent="0.2">
      <c r="A123" s="4" t="s">
        <v>99</v>
      </c>
      <c r="B123" s="4" t="s">
        <v>243</v>
      </c>
      <c r="C123" s="113" t="s">
        <v>414</v>
      </c>
      <c r="D123" s="114"/>
      <c r="E123" s="114"/>
      <c r="F123" s="4" t="s">
        <v>488</v>
      </c>
      <c r="G123" s="59">
        <v>995.84100000000001</v>
      </c>
      <c r="H123" s="14">
        <v>0</v>
      </c>
      <c r="I123" s="14">
        <f t="shared" si="96"/>
        <v>0</v>
      </c>
      <c r="J123" s="14">
        <f t="shared" si="97"/>
        <v>0</v>
      </c>
      <c r="K123" s="14">
        <f t="shared" si="98"/>
        <v>0</v>
      </c>
      <c r="L123" s="24" t="s">
        <v>505</v>
      </c>
      <c r="Z123" s="28">
        <f t="shared" si="99"/>
        <v>0</v>
      </c>
      <c r="AB123" s="28">
        <f t="shared" si="100"/>
        <v>0</v>
      </c>
      <c r="AC123" s="28">
        <f t="shared" si="101"/>
        <v>0</v>
      </c>
      <c r="AD123" s="28">
        <f t="shared" si="102"/>
        <v>0</v>
      </c>
      <c r="AE123" s="28">
        <f t="shared" si="103"/>
        <v>0</v>
      </c>
      <c r="AF123" s="28">
        <f t="shared" si="104"/>
        <v>0</v>
      </c>
      <c r="AG123" s="28">
        <f t="shared" si="105"/>
        <v>0</v>
      </c>
      <c r="AH123" s="28">
        <f t="shared" si="106"/>
        <v>0</v>
      </c>
      <c r="AI123" s="23" t="s">
        <v>515</v>
      </c>
      <c r="AJ123" s="14">
        <f t="shared" si="107"/>
        <v>0</v>
      </c>
      <c r="AK123" s="14">
        <f t="shared" si="108"/>
        <v>0</v>
      </c>
      <c r="AL123" s="14">
        <f t="shared" si="109"/>
        <v>0</v>
      </c>
      <c r="AN123" s="28">
        <v>21</v>
      </c>
      <c r="AO123" s="28">
        <f t="shared" si="110"/>
        <v>0</v>
      </c>
      <c r="AP123" s="28">
        <f t="shared" si="111"/>
        <v>0</v>
      </c>
      <c r="AQ123" s="24" t="s">
        <v>11</v>
      </c>
      <c r="AV123" s="28">
        <f t="shared" si="112"/>
        <v>0</v>
      </c>
      <c r="AW123" s="28">
        <f t="shared" si="113"/>
        <v>0</v>
      </c>
      <c r="AX123" s="28">
        <f t="shared" si="114"/>
        <v>0</v>
      </c>
      <c r="AY123" s="29" t="s">
        <v>528</v>
      </c>
      <c r="AZ123" s="29" t="s">
        <v>541</v>
      </c>
      <c r="BA123" s="23" t="s">
        <v>546</v>
      </c>
      <c r="BC123" s="28">
        <f t="shared" si="115"/>
        <v>0</v>
      </c>
      <c r="BD123" s="28">
        <f t="shared" si="116"/>
        <v>0</v>
      </c>
      <c r="BE123" s="28">
        <v>0</v>
      </c>
      <c r="BF123" s="28">
        <f>123</f>
        <v>123</v>
      </c>
      <c r="BH123" s="14">
        <f t="shared" si="117"/>
        <v>0</v>
      </c>
      <c r="BI123" s="14">
        <f t="shared" si="118"/>
        <v>0</v>
      </c>
      <c r="BJ123" s="14">
        <f t="shared" si="119"/>
        <v>0</v>
      </c>
    </row>
    <row r="124" spans="1:62" x14ac:dyDescent="0.2">
      <c r="A124" s="4" t="s">
        <v>100</v>
      </c>
      <c r="B124" s="4" t="s">
        <v>244</v>
      </c>
      <c r="C124" s="113" t="s">
        <v>415</v>
      </c>
      <c r="D124" s="114"/>
      <c r="E124" s="114"/>
      <c r="F124" s="4" t="s">
        <v>488</v>
      </c>
      <c r="G124" s="59">
        <v>10.465999999999999</v>
      </c>
      <c r="H124" s="14">
        <v>0</v>
      </c>
      <c r="I124" s="14">
        <f t="shared" si="96"/>
        <v>0</v>
      </c>
      <c r="J124" s="14">
        <f t="shared" si="97"/>
        <v>0</v>
      </c>
      <c r="K124" s="14">
        <f t="shared" si="98"/>
        <v>0</v>
      </c>
      <c r="L124" s="24" t="s">
        <v>505</v>
      </c>
      <c r="Z124" s="28">
        <f t="shared" si="99"/>
        <v>0</v>
      </c>
      <c r="AB124" s="28">
        <f t="shared" si="100"/>
        <v>0</v>
      </c>
      <c r="AC124" s="28">
        <f t="shared" si="101"/>
        <v>0</v>
      </c>
      <c r="AD124" s="28">
        <f t="shared" si="102"/>
        <v>0</v>
      </c>
      <c r="AE124" s="28">
        <f t="shared" si="103"/>
        <v>0</v>
      </c>
      <c r="AF124" s="28">
        <f t="shared" si="104"/>
        <v>0</v>
      </c>
      <c r="AG124" s="28">
        <f t="shared" si="105"/>
        <v>0</v>
      </c>
      <c r="AH124" s="28">
        <f t="shared" si="106"/>
        <v>0</v>
      </c>
      <c r="AI124" s="23" t="s">
        <v>515</v>
      </c>
      <c r="AJ124" s="14">
        <f t="shared" si="107"/>
        <v>0</v>
      </c>
      <c r="AK124" s="14">
        <f t="shared" si="108"/>
        <v>0</v>
      </c>
      <c r="AL124" s="14">
        <f t="shared" si="109"/>
        <v>0</v>
      </c>
      <c r="AN124" s="28">
        <v>21</v>
      </c>
      <c r="AO124" s="28">
        <f t="shared" si="110"/>
        <v>0</v>
      </c>
      <c r="AP124" s="28">
        <f t="shared" si="111"/>
        <v>0</v>
      </c>
      <c r="AQ124" s="24" t="s">
        <v>11</v>
      </c>
      <c r="AV124" s="28">
        <f t="shared" si="112"/>
        <v>0</v>
      </c>
      <c r="AW124" s="28">
        <f t="shared" si="113"/>
        <v>0</v>
      </c>
      <c r="AX124" s="28">
        <f t="shared" si="114"/>
        <v>0</v>
      </c>
      <c r="AY124" s="29" t="s">
        <v>528</v>
      </c>
      <c r="AZ124" s="29" t="s">
        <v>541</v>
      </c>
      <c r="BA124" s="23" t="s">
        <v>546</v>
      </c>
      <c r="BC124" s="28">
        <f t="shared" si="115"/>
        <v>0</v>
      </c>
      <c r="BD124" s="28">
        <f t="shared" si="116"/>
        <v>0</v>
      </c>
      <c r="BE124" s="28">
        <v>0</v>
      </c>
      <c r="BF124" s="28">
        <f>124</f>
        <v>124</v>
      </c>
      <c r="BH124" s="14">
        <f t="shared" si="117"/>
        <v>0</v>
      </c>
      <c r="BI124" s="14">
        <f t="shared" si="118"/>
        <v>0</v>
      </c>
      <c r="BJ124" s="14">
        <f t="shared" si="119"/>
        <v>0</v>
      </c>
    </row>
    <row r="125" spans="1:62" x14ac:dyDescent="0.2">
      <c r="A125" s="4" t="s">
        <v>101</v>
      </c>
      <c r="B125" s="4" t="s">
        <v>245</v>
      </c>
      <c r="C125" s="113" t="s">
        <v>416</v>
      </c>
      <c r="D125" s="114"/>
      <c r="E125" s="114"/>
      <c r="F125" s="4" t="s">
        <v>488</v>
      </c>
      <c r="G125" s="59">
        <v>125.592</v>
      </c>
      <c r="H125" s="14">
        <v>0</v>
      </c>
      <c r="I125" s="14">
        <f t="shared" si="96"/>
        <v>0</v>
      </c>
      <c r="J125" s="14">
        <f t="shared" si="97"/>
        <v>0</v>
      </c>
      <c r="K125" s="14">
        <f t="shared" si="98"/>
        <v>0</v>
      </c>
      <c r="L125" s="24" t="s">
        <v>505</v>
      </c>
      <c r="Z125" s="28">
        <f t="shared" si="99"/>
        <v>0</v>
      </c>
      <c r="AB125" s="28">
        <f t="shared" si="100"/>
        <v>0</v>
      </c>
      <c r="AC125" s="28">
        <f t="shared" si="101"/>
        <v>0</v>
      </c>
      <c r="AD125" s="28">
        <f t="shared" si="102"/>
        <v>0</v>
      </c>
      <c r="AE125" s="28">
        <f t="shared" si="103"/>
        <v>0</v>
      </c>
      <c r="AF125" s="28">
        <f t="shared" si="104"/>
        <v>0</v>
      </c>
      <c r="AG125" s="28">
        <f t="shared" si="105"/>
        <v>0</v>
      </c>
      <c r="AH125" s="28">
        <f t="shared" si="106"/>
        <v>0</v>
      </c>
      <c r="AI125" s="23" t="s">
        <v>515</v>
      </c>
      <c r="AJ125" s="14">
        <f t="shared" si="107"/>
        <v>0</v>
      </c>
      <c r="AK125" s="14">
        <f t="shared" si="108"/>
        <v>0</v>
      </c>
      <c r="AL125" s="14">
        <f t="shared" si="109"/>
        <v>0</v>
      </c>
      <c r="AN125" s="28">
        <v>21</v>
      </c>
      <c r="AO125" s="28">
        <f t="shared" si="110"/>
        <v>0</v>
      </c>
      <c r="AP125" s="28">
        <f t="shared" si="111"/>
        <v>0</v>
      </c>
      <c r="AQ125" s="24" t="s">
        <v>11</v>
      </c>
      <c r="AV125" s="28">
        <f t="shared" si="112"/>
        <v>0</v>
      </c>
      <c r="AW125" s="28">
        <f t="shared" si="113"/>
        <v>0</v>
      </c>
      <c r="AX125" s="28">
        <f t="shared" si="114"/>
        <v>0</v>
      </c>
      <c r="AY125" s="29" t="s">
        <v>528</v>
      </c>
      <c r="AZ125" s="29" t="s">
        <v>541</v>
      </c>
      <c r="BA125" s="23" t="s">
        <v>546</v>
      </c>
      <c r="BC125" s="28">
        <f t="shared" si="115"/>
        <v>0</v>
      </c>
      <c r="BD125" s="28">
        <f t="shared" si="116"/>
        <v>0</v>
      </c>
      <c r="BE125" s="28">
        <v>0</v>
      </c>
      <c r="BF125" s="28">
        <f>125</f>
        <v>125</v>
      </c>
      <c r="BH125" s="14">
        <f t="shared" si="117"/>
        <v>0</v>
      </c>
      <c r="BI125" s="14">
        <f t="shared" si="118"/>
        <v>0</v>
      </c>
      <c r="BJ125" s="14">
        <f t="shared" si="119"/>
        <v>0</v>
      </c>
    </row>
    <row r="126" spans="1:62" x14ac:dyDescent="0.2">
      <c r="A126" s="4" t="s">
        <v>102</v>
      </c>
      <c r="B126" s="4" t="s">
        <v>246</v>
      </c>
      <c r="C126" s="113" t="s">
        <v>417</v>
      </c>
      <c r="D126" s="114"/>
      <c r="E126" s="114"/>
      <c r="F126" s="4" t="s">
        <v>488</v>
      </c>
      <c r="G126" s="59">
        <v>995.84100000000001</v>
      </c>
      <c r="H126" s="14">
        <v>0</v>
      </c>
      <c r="I126" s="14">
        <f t="shared" si="96"/>
        <v>0</v>
      </c>
      <c r="J126" s="14">
        <f t="shared" si="97"/>
        <v>0</v>
      </c>
      <c r="K126" s="14">
        <f t="shared" si="98"/>
        <v>0</v>
      </c>
      <c r="L126" s="24" t="s">
        <v>505</v>
      </c>
      <c r="Z126" s="28">
        <f t="shared" si="99"/>
        <v>0</v>
      </c>
      <c r="AB126" s="28">
        <f t="shared" si="100"/>
        <v>0</v>
      </c>
      <c r="AC126" s="28">
        <f t="shared" si="101"/>
        <v>0</v>
      </c>
      <c r="AD126" s="28">
        <f t="shared" si="102"/>
        <v>0</v>
      </c>
      <c r="AE126" s="28">
        <f t="shared" si="103"/>
        <v>0</v>
      </c>
      <c r="AF126" s="28">
        <f t="shared" si="104"/>
        <v>0</v>
      </c>
      <c r="AG126" s="28">
        <f t="shared" si="105"/>
        <v>0</v>
      </c>
      <c r="AH126" s="28">
        <f t="shared" si="106"/>
        <v>0</v>
      </c>
      <c r="AI126" s="23" t="s">
        <v>515</v>
      </c>
      <c r="AJ126" s="14">
        <f t="shared" si="107"/>
        <v>0</v>
      </c>
      <c r="AK126" s="14">
        <f t="shared" si="108"/>
        <v>0</v>
      </c>
      <c r="AL126" s="14">
        <f t="shared" si="109"/>
        <v>0</v>
      </c>
      <c r="AN126" s="28">
        <v>21</v>
      </c>
      <c r="AO126" s="28">
        <f t="shared" si="110"/>
        <v>0</v>
      </c>
      <c r="AP126" s="28">
        <f t="shared" si="111"/>
        <v>0</v>
      </c>
      <c r="AQ126" s="24" t="s">
        <v>11</v>
      </c>
      <c r="AV126" s="28">
        <f t="shared" si="112"/>
        <v>0</v>
      </c>
      <c r="AW126" s="28">
        <f t="shared" si="113"/>
        <v>0</v>
      </c>
      <c r="AX126" s="28">
        <f t="shared" si="114"/>
        <v>0</v>
      </c>
      <c r="AY126" s="29" t="s">
        <v>528</v>
      </c>
      <c r="AZ126" s="29" t="s">
        <v>541</v>
      </c>
      <c r="BA126" s="23" t="s">
        <v>546</v>
      </c>
      <c r="BC126" s="28">
        <f t="shared" si="115"/>
        <v>0</v>
      </c>
      <c r="BD126" s="28">
        <f t="shared" si="116"/>
        <v>0</v>
      </c>
      <c r="BE126" s="28">
        <v>0</v>
      </c>
      <c r="BF126" s="28">
        <f>126</f>
        <v>126</v>
      </c>
      <c r="BH126" s="14">
        <f t="shared" si="117"/>
        <v>0</v>
      </c>
      <c r="BI126" s="14">
        <f t="shared" si="118"/>
        <v>0</v>
      </c>
      <c r="BJ126" s="14">
        <f t="shared" si="119"/>
        <v>0</v>
      </c>
    </row>
    <row r="127" spans="1:62" x14ac:dyDescent="0.2">
      <c r="A127" s="4" t="s">
        <v>103</v>
      </c>
      <c r="B127" s="4" t="s">
        <v>247</v>
      </c>
      <c r="C127" s="113" t="s">
        <v>418</v>
      </c>
      <c r="D127" s="114"/>
      <c r="E127" s="114"/>
      <c r="F127" s="4" t="s">
        <v>488</v>
      </c>
      <c r="G127" s="59">
        <v>18.707000000000001</v>
      </c>
      <c r="H127" s="14">
        <v>0</v>
      </c>
      <c r="I127" s="14">
        <f t="shared" si="96"/>
        <v>0</v>
      </c>
      <c r="J127" s="14">
        <f t="shared" si="97"/>
        <v>0</v>
      </c>
      <c r="K127" s="14">
        <f t="shared" si="98"/>
        <v>0</v>
      </c>
      <c r="L127" s="24" t="s">
        <v>505</v>
      </c>
      <c r="Z127" s="28">
        <f t="shared" si="99"/>
        <v>0</v>
      </c>
      <c r="AB127" s="28">
        <f t="shared" si="100"/>
        <v>0</v>
      </c>
      <c r="AC127" s="28">
        <f t="shared" si="101"/>
        <v>0</v>
      </c>
      <c r="AD127" s="28">
        <f t="shared" si="102"/>
        <v>0</v>
      </c>
      <c r="AE127" s="28">
        <f t="shared" si="103"/>
        <v>0</v>
      </c>
      <c r="AF127" s="28">
        <f t="shared" si="104"/>
        <v>0</v>
      </c>
      <c r="AG127" s="28">
        <f t="shared" si="105"/>
        <v>0</v>
      </c>
      <c r="AH127" s="28">
        <f t="shared" si="106"/>
        <v>0</v>
      </c>
      <c r="AI127" s="23" t="s">
        <v>515</v>
      </c>
      <c r="AJ127" s="14">
        <f t="shared" si="107"/>
        <v>0</v>
      </c>
      <c r="AK127" s="14">
        <f t="shared" si="108"/>
        <v>0</v>
      </c>
      <c r="AL127" s="14">
        <f t="shared" si="109"/>
        <v>0</v>
      </c>
      <c r="AN127" s="28">
        <v>21</v>
      </c>
      <c r="AO127" s="28">
        <f t="shared" si="110"/>
        <v>0</v>
      </c>
      <c r="AP127" s="28">
        <f t="shared" si="111"/>
        <v>0</v>
      </c>
      <c r="AQ127" s="24" t="s">
        <v>11</v>
      </c>
      <c r="AV127" s="28">
        <f t="shared" si="112"/>
        <v>0</v>
      </c>
      <c r="AW127" s="28">
        <f t="shared" si="113"/>
        <v>0</v>
      </c>
      <c r="AX127" s="28">
        <f t="shared" si="114"/>
        <v>0</v>
      </c>
      <c r="AY127" s="29" t="s">
        <v>528</v>
      </c>
      <c r="AZ127" s="29" t="s">
        <v>541</v>
      </c>
      <c r="BA127" s="23" t="s">
        <v>546</v>
      </c>
      <c r="BC127" s="28">
        <f t="shared" si="115"/>
        <v>0</v>
      </c>
      <c r="BD127" s="28">
        <f t="shared" si="116"/>
        <v>0</v>
      </c>
      <c r="BE127" s="28">
        <v>0</v>
      </c>
      <c r="BF127" s="28">
        <f>127</f>
        <v>127</v>
      </c>
      <c r="BH127" s="14">
        <f t="shared" si="117"/>
        <v>0</v>
      </c>
      <c r="BI127" s="14">
        <f t="shared" si="118"/>
        <v>0</v>
      </c>
      <c r="BJ127" s="14">
        <f t="shared" si="119"/>
        <v>0</v>
      </c>
    </row>
    <row r="128" spans="1:62" x14ac:dyDescent="0.2">
      <c r="A128" s="4" t="s">
        <v>104</v>
      </c>
      <c r="B128" s="4" t="s">
        <v>248</v>
      </c>
      <c r="C128" s="113" t="s">
        <v>419</v>
      </c>
      <c r="D128" s="114"/>
      <c r="E128" s="114"/>
      <c r="F128" s="4" t="s">
        <v>488</v>
      </c>
      <c r="G128" s="59">
        <v>166.892</v>
      </c>
      <c r="H128" s="14">
        <v>0</v>
      </c>
      <c r="I128" s="14">
        <f t="shared" si="96"/>
        <v>0</v>
      </c>
      <c r="J128" s="14">
        <f t="shared" si="97"/>
        <v>0</v>
      </c>
      <c r="K128" s="14">
        <f t="shared" si="98"/>
        <v>0</v>
      </c>
      <c r="L128" s="24" t="s">
        <v>505</v>
      </c>
      <c r="Z128" s="28">
        <f t="shared" si="99"/>
        <v>0</v>
      </c>
      <c r="AB128" s="28">
        <f t="shared" si="100"/>
        <v>0</v>
      </c>
      <c r="AC128" s="28">
        <f t="shared" si="101"/>
        <v>0</v>
      </c>
      <c r="AD128" s="28">
        <f t="shared" si="102"/>
        <v>0</v>
      </c>
      <c r="AE128" s="28">
        <f t="shared" si="103"/>
        <v>0</v>
      </c>
      <c r="AF128" s="28">
        <f t="shared" si="104"/>
        <v>0</v>
      </c>
      <c r="AG128" s="28">
        <f t="shared" si="105"/>
        <v>0</v>
      </c>
      <c r="AH128" s="28">
        <f t="shared" si="106"/>
        <v>0</v>
      </c>
      <c r="AI128" s="23" t="s">
        <v>515</v>
      </c>
      <c r="AJ128" s="14">
        <f t="shared" si="107"/>
        <v>0</v>
      </c>
      <c r="AK128" s="14">
        <f t="shared" si="108"/>
        <v>0</v>
      </c>
      <c r="AL128" s="14">
        <f t="shared" si="109"/>
        <v>0</v>
      </c>
      <c r="AN128" s="28">
        <v>21</v>
      </c>
      <c r="AO128" s="28">
        <f t="shared" si="110"/>
        <v>0</v>
      </c>
      <c r="AP128" s="28">
        <f t="shared" si="111"/>
        <v>0</v>
      </c>
      <c r="AQ128" s="24" t="s">
        <v>11</v>
      </c>
      <c r="AV128" s="28">
        <f t="shared" si="112"/>
        <v>0</v>
      </c>
      <c r="AW128" s="28">
        <f t="shared" si="113"/>
        <v>0</v>
      </c>
      <c r="AX128" s="28">
        <f t="shared" si="114"/>
        <v>0</v>
      </c>
      <c r="AY128" s="29" t="s">
        <v>528</v>
      </c>
      <c r="AZ128" s="29" t="s">
        <v>541</v>
      </c>
      <c r="BA128" s="23" t="s">
        <v>546</v>
      </c>
      <c r="BC128" s="28">
        <f t="shared" si="115"/>
        <v>0</v>
      </c>
      <c r="BD128" s="28">
        <f t="shared" si="116"/>
        <v>0</v>
      </c>
      <c r="BE128" s="28">
        <v>0</v>
      </c>
      <c r="BF128" s="28">
        <f>128</f>
        <v>128</v>
      </c>
      <c r="BH128" s="14">
        <f t="shared" si="117"/>
        <v>0</v>
      </c>
      <c r="BI128" s="14">
        <f t="shared" si="118"/>
        <v>0</v>
      </c>
      <c r="BJ128" s="14">
        <f t="shared" si="119"/>
        <v>0</v>
      </c>
    </row>
    <row r="129" spans="1:62" x14ac:dyDescent="0.2">
      <c r="A129" s="4" t="s">
        <v>105</v>
      </c>
      <c r="B129" s="4" t="s">
        <v>249</v>
      </c>
      <c r="C129" s="113" t="s">
        <v>420</v>
      </c>
      <c r="D129" s="114"/>
      <c r="E129" s="114"/>
      <c r="F129" s="4" t="s">
        <v>488</v>
      </c>
      <c r="G129" s="59">
        <v>224.6</v>
      </c>
      <c r="H129" s="14">
        <v>0</v>
      </c>
      <c r="I129" s="14">
        <f t="shared" si="96"/>
        <v>0</v>
      </c>
      <c r="J129" s="14">
        <f t="shared" si="97"/>
        <v>0</v>
      </c>
      <c r="K129" s="14">
        <f t="shared" si="98"/>
        <v>0</v>
      </c>
      <c r="L129" s="24" t="s">
        <v>505</v>
      </c>
      <c r="Z129" s="28">
        <f t="shared" si="99"/>
        <v>0</v>
      </c>
      <c r="AB129" s="28">
        <f t="shared" si="100"/>
        <v>0</v>
      </c>
      <c r="AC129" s="28">
        <f t="shared" si="101"/>
        <v>0</v>
      </c>
      <c r="AD129" s="28">
        <f t="shared" si="102"/>
        <v>0</v>
      </c>
      <c r="AE129" s="28">
        <f t="shared" si="103"/>
        <v>0</v>
      </c>
      <c r="AF129" s="28">
        <f t="shared" si="104"/>
        <v>0</v>
      </c>
      <c r="AG129" s="28">
        <f t="shared" si="105"/>
        <v>0</v>
      </c>
      <c r="AH129" s="28">
        <f t="shared" si="106"/>
        <v>0</v>
      </c>
      <c r="AI129" s="23" t="s">
        <v>515</v>
      </c>
      <c r="AJ129" s="14">
        <f t="shared" si="107"/>
        <v>0</v>
      </c>
      <c r="AK129" s="14">
        <f t="shared" si="108"/>
        <v>0</v>
      </c>
      <c r="AL129" s="14">
        <f t="shared" si="109"/>
        <v>0</v>
      </c>
      <c r="AN129" s="28">
        <v>21</v>
      </c>
      <c r="AO129" s="28">
        <f t="shared" si="110"/>
        <v>0</v>
      </c>
      <c r="AP129" s="28">
        <f t="shared" si="111"/>
        <v>0</v>
      </c>
      <c r="AQ129" s="24" t="s">
        <v>11</v>
      </c>
      <c r="AV129" s="28">
        <f t="shared" si="112"/>
        <v>0</v>
      </c>
      <c r="AW129" s="28">
        <f t="shared" si="113"/>
        <v>0</v>
      </c>
      <c r="AX129" s="28">
        <f t="shared" si="114"/>
        <v>0</v>
      </c>
      <c r="AY129" s="29" t="s">
        <v>528</v>
      </c>
      <c r="AZ129" s="29" t="s">
        <v>541</v>
      </c>
      <c r="BA129" s="23" t="s">
        <v>546</v>
      </c>
      <c r="BC129" s="28">
        <f t="shared" si="115"/>
        <v>0</v>
      </c>
      <c r="BD129" s="28">
        <f t="shared" si="116"/>
        <v>0</v>
      </c>
      <c r="BE129" s="28">
        <v>0</v>
      </c>
      <c r="BF129" s="28">
        <f>129</f>
        <v>129</v>
      </c>
      <c r="BH129" s="14">
        <f t="shared" si="117"/>
        <v>0</v>
      </c>
      <c r="BI129" s="14">
        <f t="shared" si="118"/>
        <v>0</v>
      </c>
      <c r="BJ129" s="14">
        <f t="shared" si="119"/>
        <v>0</v>
      </c>
    </row>
    <row r="130" spans="1:62" x14ac:dyDescent="0.2">
      <c r="A130" s="4" t="s">
        <v>106</v>
      </c>
      <c r="B130" s="4" t="s">
        <v>250</v>
      </c>
      <c r="C130" s="113" t="s">
        <v>421</v>
      </c>
      <c r="D130" s="114"/>
      <c r="E130" s="114"/>
      <c r="F130" s="4" t="s">
        <v>488</v>
      </c>
      <c r="G130" s="59">
        <v>262.26299999999998</v>
      </c>
      <c r="H130" s="14">
        <v>0</v>
      </c>
      <c r="I130" s="14">
        <f t="shared" si="96"/>
        <v>0</v>
      </c>
      <c r="J130" s="14">
        <f t="shared" si="97"/>
        <v>0</v>
      </c>
      <c r="K130" s="14">
        <f t="shared" si="98"/>
        <v>0</v>
      </c>
      <c r="L130" s="24" t="s">
        <v>505</v>
      </c>
      <c r="Z130" s="28">
        <f t="shared" si="99"/>
        <v>0</v>
      </c>
      <c r="AB130" s="28">
        <f t="shared" si="100"/>
        <v>0</v>
      </c>
      <c r="AC130" s="28">
        <f t="shared" si="101"/>
        <v>0</v>
      </c>
      <c r="AD130" s="28">
        <f t="shared" si="102"/>
        <v>0</v>
      </c>
      <c r="AE130" s="28">
        <f t="shared" si="103"/>
        <v>0</v>
      </c>
      <c r="AF130" s="28">
        <f t="shared" si="104"/>
        <v>0</v>
      </c>
      <c r="AG130" s="28">
        <f t="shared" si="105"/>
        <v>0</v>
      </c>
      <c r="AH130" s="28">
        <f t="shared" si="106"/>
        <v>0</v>
      </c>
      <c r="AI130" s="23" t="s">
        <v>515</v>
      </c>
      <c r="AJ130" s="14">
        <f t="shared" si="107"/>
        <v>0</v>
      </c>
      <c r="AK130" s="14">
        <f t="shared" si="108"/>
        <v>0</v>
      </c>
      <c r="AL130" s="14">
        <f t="shared" si="109"/>
        <v>0</v>
      </c>
      <c r="AN130" s="28">
        <v>21</v>
      </c>
      <c r="AO130" s="28">
        <f t="shared" si="110"/>
        <v>0</v>
      </c>
      <c r="AP130" s="28">
        <f t="shared" si="111"/>
        <v>0</v>
      </c>
      <c r="AQ130" s="24" t="s">
        <v>11</v>
      </c>
      <c r="AV130" s="28">
        <f t="shared" si="112"/>
        <v>0</v>
      </c>
      <c r="AW130" s="28">
        <f t="shared" si="113"/>
        <v>0</v>
      </c>
      <c r="AX130" s="28">
        <f t="shared" si="114"/>
        <v>0</v>
      </c>
      <c r="AY130" s="29" t="s">
        <v>528</v>
      </c>
      <c r="AZ130" s="29" t="s">
        <v>541</v>
      </c>
      <c r="BA130" s="23" t="s">
        <v>546</v>
      </c>
      <c r="BC130" s="28">
        <f t="shared" si="115"/>
        <v>0</v>
      </c>
      <c r="BD130" s="28">
        <f t="shared" si="116"/>
        <v>0</v>
      </c>
      <c r="BE130" s="28">
        <v>0</v>
      </c>
      <c r="BF130" s="28">
        <f>130</f>
        <v>130</v>
      </c>
      <c r="BH130" s="14">
        <f t="shared" si="117"/>
        <v>0</v>
      </c>
      <c r="BI130" s="14">
        <f t="shared" si="118"/>
        <v>0</v>
      </c>
      <c r="BJ130" s="14">
        <f t="shared" si="119"/>
        <v>0</v>
      </c>
    </row>
    <row r="131" spans="1:62" x14ac:dyDescent="0.2">
      <c r="A131" s="4" t="s">
        <v>107</v>
      </c>
      <c r="B131" s="4" t="s">
        <v>251</v>
      </c>
      <c r="C131" s="113" t="s">
        <v>422</v>
      </c>
      <c r="D131" s="114"/>
      <c r="E131" s="114"/>
      <c r="F131" s="4" t="s">
        <v>488</v>
      </c>
      <c r="G131" s="59">
        <v>200.87899999999999</v>
      </c>
      <c r="H131" s="14">
        <v>0</v>
      </c>
      <c r="I131" s="14">
        <f t="shared" si="96"/>
        <v>0</v>
      </c>
      <c r="J131" s="14">
        <f t="shared" si="97"/>
        <v>0</v>
      </c>
      <c r="K131" s="14">
        <f t="shared" si="98"/>
        <v>0</v>
      </c>
      <c r="L131" s="24" t="s">
        <v>505</v>
      </c>
      <c r="Z131" s="28">
        <f t="shared" si="99"/>
        <v>0</v>
      </c>
      <c r="AB131" s="28">
        <f t="shared" si="100"/>
        <v>0</v>
      </c>
      <c r="AC131" s="28">
        <f t="shared" si="101"/>
        <v>0</v>
      </c>
      <c r="AD131" s="28">
        <f t="shared" si="102"/>
        <v>0</v>
      </c>
      <c r="AE131" s="28">
        <f t="shared" si="103"/>
        <v>0</v>
      </c>
      <c r="AF131" s="28">
        <f t="shared" si="104"/>
        <v>0</v>
      </c>
      <c r="AG131" s="28">
        <f t="shared" si="105"/>
        <v>0</v>
      </c>
      <c r="AH131" s="28">
        <f t="shared" si="106"/>
        <v>0</v>
      </c>
      <c r="AI131" s="23" t="s">
        <v>515</v>
      </c>
      <c r="AJ131" s="14">
        <f t="shared" si="107"/>
        <v>0</v>
      </c>
      <c r="AK131" s="14">
        <f t="shared" si="108"/>
        <v>0</v>
      </c>
      <c r="AL131" s="14">
        <f t="shared" si="109"/>
        <v>0</v>
      </c>
      <c r="AN131" s="28">
        <v>21</v>
      </c>
      <c r="AO131" s="28">
        <f t="shared" si="110"/>
        <v>0</v>
      </c>
      <c r="AP131" s="28">
        <f t="shared" si="111"/>
        <v>0</v>
      </c>
      <c r="AQ131" s="24" t="s">
        <v>11</v>
      </c>
      <c r="AV131" s="28">
        <f t="shared" si="112"/>
        <v>0</v>
      </c>
      <c r="AW131" s="28">
        <f t="shared" si="113"/>
        <v>0</v>
      </c>
      <c r="AX131" s="28">
        <f t="shared" si="114"/>
        <v>0</v>
      </c>
      <c r="AY131" s="29" t="s">
        <v>528</v>
      </c>
      <c r="AZ131" s="29" t="s">
        <v>541</v>
      </c>
      <c r="BA131" s="23" t="s">
        <v>546</v>
      </c>
      <c r="BC131" s="28">
        <f t="shared" si="115"/>
        <v>0</v>
      </c>
      <c r="BD131" s="28">
        <f t="shared" si="116"/>
        <v>0</v>
      </c>
      <c r="BE131" s="28">
        <v>0</v>
      </c>
      <c r="BF131" s="28">
        <f>131</f>
        <v>131</v>
      </c>
      <c r="BH131" s="14">
        <f t="shared" si="117"/>
        <v>0</v>
      </c>
      <c r="BI131" s="14">
        <f t="shared" si="118"/>
        <v>0</v>
      </c>
      <c r="BJ131" s="14">
        <f t="shared" si="119"/>
        <v>0</v>
      </c>
    </row>
    <row r="132" spans="1:62" x14ac:dyDescent="0.2">
      <c r="A132" s="4" t="s">
        <v>108</v>
      </c>
      <c r="B132" s="4" t="s">
        <v>252</v>
      </c>
      <c r="C132" s="113" t="s">
        <v>423</v>
      </c>
      <c r="D132" s="114"/>
      <c r="E132" s="114"/>
      <c r="F132" s="4" t="s">
        <v>488</v>
      </c>
      <c r="G132" s="59">
        <v>90.108999999999995</v>
      </c>
      <c r="H132" s="14">
        <v>0</v>
      </c>
      <c r="I132" s="14">
        <f t="shared" si="96"/>
        <v>0</v>
      </c>
      <c r="J132" s="14">
        <f t="shared" si="97"/>
        <v>0</v>
      </c>
      <c r="K132" s="14">
        <f t="shared" si="98"/>
        <v>0</v>
      </c>
      <c r="L132" s="24" t="s">
        <v>505</v>
      </c>
      <c r="Z132" s="28">
        <f t="shared" si="99"/>
        <v>0</v>
      </c>
      <c r="AB132" s="28">
        <f t="shared" si="100"/>
        <v>0</v>
      </c>
      <c r="AC132" s="28">
        <f t="shared" si="101"/>
        <v>0</v>
      </c>
      <c r="AD132" s="28">
        <f t="shared" si="102"/>
        <v>0</v>
      </c>
      <c r="AE132" s="28">
        <f t="shared" si="103"/>
        <v>0</v>
      </c>
      <c r="AF132" s="28">
        <f t="shared" si="104"/>
        <v>0</v>
      </c>
      <c r="AG132" s="28">
        <f t="shared" si="105"/>
        <v>0</v>
      </c>
      <c r="AH132" s="28">
        <f t="shared" si="106"/>
        <v>0</v>
      </c>
      <c r="AI132" s="23" t="s">
        <v>515</v>
      </c>
      <c r="AJ132" s="14">
        <f t="shared" si="107"/>
        <v>0</v>
      </c>
      <c r="AK132" s="14">
        <f t="shared" si="108"/>
        <v>0</v>
      </c>
      <c r="AL132" s="14">
        <f t="shared" si="109"/>
        <v>0</v>
      </c>
      <c r="AN132" s="28">
        <v>21</v>
      </c>
      <c r="AO132" s="28">
        <f t="shared" si="110"/>
        <v>0</v>
      </c>
      <c r="AP132" s="28">
        <f t="shared" si="111"/>
        <v>0</v>
      </c>
      <c r="AQ132" s="24" t="s">
        <v>11</v>
      </c>
      <c r="AV132" s="28">
        <f t="shared" si="112"/>
        <v>0</v>
      </c>
      <c r="AW132" s="28">
        <f t="shared" si="113"/>
        <v>0</v>
      </c>
      <c r="AX132" s="28">
        <f t="shared" si="114"/>
        <v>0</v>
      </c>
      <c r="AY132" s="29" t="s">
        <v>528</v>
      </c>
      <c r="AZ132" s="29" t="s">
        <v>541</v>
      </c>
      <c r="BA132" s="23" t="s">
        <v>546</v>
      </c>
      <c r="BC132" s="28">
        <f t="shared" si="115"/>
        <v>0</v>
      </c>
      <c r="BD132" s="28">
        <f t="shared" si="116"/>
        <v>0</v>
      </c>
      <c r="BE132" s="28">
        <v>0</v>
      </c>
      <c r="BF132" s="28">
        <f>132</f>
        <v>132</v>
      </c>
      <c r="BH132" s="14">
        <f t="shared" si="117"/>
        <v>0</v>
      </c>
      <c r="BI132" s="14">
        <f t="shared" si="118"/>
        <v>0</v>
      </c>
      <c r="BJ132" s="14">
        <f t="shared" si="119"/>
        <v>0</v>
      </c>
    </row>
    <row r="133" spans="1:62" x14ac:dyDescent="0.2">
      <c r="A133" s="4" t="s">
        <v>109</v>
      </c>
      <c r="B133" s="4" t="s">
        <v>253</v>
      </c>
      <c r="C133" s="113" t="s">
        <v>424</v>
      </c>
      <c r="D133" s="114"/>
      <c r="E133" s="114"/>
      <c r="F133" s="4" t="s">
        <v>488</v>
      </c>
      <c r="G133" s="59">
        <v>5.859</v>
      </c>
      <c r="H133" s="14">
        <v>0</v>
      </c>
      <c r="I133" s="14">
        <f t="shared" si="96"/>
        <v>0</v>
      </c>
      <c r="J133" s="14">
        <f t="shared" si="97"/>
        <v>0</v>
      </c>
      <c r="K133" s="14">
        <f t="shared" si="98"/>
        <v>0</v>
      </c>
      <c r="L133" s="24" t="s">
        <v>505</v>
      </c>
      <c r="Z133" s="28">
        <f t="shared" si="99"/>
        <v>0</v>
      </c>
      <c r="AB133" s="28">
        <f t="shared" si="100"/>
        <v>0</v>
      </c>
      <c r="AC133" s="28">
        <f t="shared" si="101"/>
        <v>0</v>
      </c>
      <c r="AD133" s="28">
        <f t="shared" si="102"/>
        <v>0</v>
      </c>
      <c r="AE133" s="28">
        <f t="shared" si="103"/>
        <v>0</v>
      </c>
      <c r="AF133" s="28">
        <f t="shared" si="104"/>
        <v>0</v>
      </c>
      <c r="AG133" s="28">
        <f t="shared" si="105"/>
        <v>0</v>
      </c>
      <c r="AH133" s="28">
        <f t="shared" si="106"/>
        <v>0</v>
      </c>
      <c r="AI133" s="23" t="s">
        <v>515</v>
      </c>
      <c r="AJ133" s="14">
        <f t="shared" si="107"/>
        <v>0</v>
      </c>
      <c r="AK133" s="14">
        <f t="shared" si="108"/>
        <v>0</v>
      </c>
      <c r="AL133" s="14">
        <f t="shared" si="109"/>
        <v>0</v>
      </c>
      <c r="AN133" s="28">
        <v>21</v>
      </c>
      <c r="AO133" s="28">
        <f t="shared" si="110"/>
        <v>0</v>
      </c>
      <c r="AP133" s="28">
        <f t="shared" si="111"/>
        <v>0</v>
      </c>
      <c r="AQ133" s="24" t="s">
        <v>11</v>
      </c>
      <c r="AV133" s="28">
        <f t="shared" si="112"/>
        <v>0</v>
      </c>
      <c r="AW133" s="28">
        <f t="shared" si="113"/>
        <v>0</v>
      </c>
      <c r="AX133" s="28">
        <f t="shared" si="114"/>
        <v>0</v>
      </c>
      <c r="AY133" s="29" t="s">
        <v>528</v>
      </c>
      <c r="AZ133" s="29" t="s">
        <v>541</v>
      </c>
      <c r="BA133" s="23" t="s">
        <v>546</v>
      </c>
      <c r="BC133" s="28">
        <f t="shared" si="115"/>
        <v>0</v>
      </c>
      <c r="BD133" s="28">
        <f t="shared" si="116"/>
        <v>0</v>
      </c>
      <c r="BE133" s="28">
        <v>0</v>
      </c>
      <c r="BF133" s="28">
        <f>133</f>
        <v>133</v>
      </c>
      <c r="BH133" s="14">
        <f t="shared" si="117"/>
        <v>0</v>
      </c>
      <c r="BI133" s="14">
        <f t="shared" si="118"/>
        <v>0</v>
      </c>
      <c r="BJ133" s="14">
        <f t="shared" si="119"/>
        <v>0</v>
      </c>
    </row>
    <row r="134" spans="1:62" x14ac:dyDescent="0.2">
      <c r="A134" s="4" t="s">
        <v>110</v>
      </c>
      <c r="B134" s="4" t="s">
        <v>254</v>
      </c>
      <c r="C134" s="113" t="s">
        <v>425</v>
      </c>
      <c r="D134" s="114"/>
      <c r="E134" s="114"/>
      <c r="F134" s="4" t="s">
        <v>488</v>
      </c>
      <c r="G134" s="59">
        <v>8.7949999999999999</v>
      </c>
      <c r="H134" s="14">
        <v>0</v>
      </c>
      <c r="I134" s="14">
        <f t="shared" si="96"/>
        <v>0</v>
      </c>
      <c r="J134" s="14">
        <f t="shared" si="97"/>
        <v>0</v>
      </c>
      <c r="K134" s="14">
        <f t="shared" si="98"/>
        <v>0</v>
      </c>
      <c r="L134" s="24" t="s">
        <v>505</v>
      </c>
      <c r="Z134" s="28">
        <f t="shared" si="99"/>
        <v>0</v>
      </c>
      <c r="AB134" s="28">
        <f t="shared" si="100"/>
        <v>0</v>
      </c>
      <c r="AC134" s="28">
        <f t="shared" si="101"/>
        <v>0</v>
      </c>
      <c r="AD134" s="28">
        <f t="shared" si="102"/>
        <v>0</v>
      </c>
      <c r="AE134" s="28">
        <f t="shared" si="103"/>
        <v>0</v>
      </c>
      <c r="AF134" s="28">
        <f t="shared" si="104"/>
        <v>0</v>
      </c>
      <c r="AG134" s="28">
        <f t="shared" si="105"/>
        <v>0</v>
      </c>
      <c r="AH134" s="28">
        <f t="shared" si="106"/>
        <v>0</v>
      </c>
      <c r="AI134" s="23" t="s">
        <v>515</v>
      </c>
      <c r="AJ134" s="14">
        <f t="shared" si="107"/>
        <v>0</v>
      </c>
      <c r="AK134" s="14">
        <f t="shared" si="108"/>
        <v>0</v>
      </c>
      <c r="AL134" s="14">
        <f t="shared" si="109"/>
        <v>0</v>
      </c>
      <c r="AN134" s="28">
        <v>21</v>
      </c>
      <c r="AO134" s="28">
        <f t="shared" si="110"/>
        <v>0</v>
      </c>
      <c r="AP134" s="28">
        <f t="shared" si="111"/>
        <v>0</v>
      </c>
      <c r="AQ134" s="24" t="s">
        <v>11</v>
      </c>
      <c r="AV134" s="28">
        <f t="shared" si="112"/>
        <v>0</v>
      </c>
      <c r="AW134" s="28">
        <f t="shared" si="113"/>
        <v>0</v>
      </c>
      <c r="AX134" s="28">
        <f t="shared" si="114"/>
        <v>0</v>
      </c>
      <c r="AY134" s="29" t="s">
        <v>528</v>
      </c>
      <c r="AZ134" s="29" t="s">
        <v>541</v>
      </c>
      <c r="BA134" s="23" t="s">
        <v>546</v>
      </c>
      <c r="BC134" s="28">
        <f t="shared" si="115"/>
        <v>0</v>
      </c>
      <c r="BD134" s="28">
        <f t="shared" si="116"/>
        <v>0</v>
      </c>
      <c r="BE134" s="28">
        <v>0</v>
      </c>
      <c r="BF134" s="28">
        <f>134</f>
        <v>134</v>
      </c>
      <c r="BH134" s="14">
        <f t="shared" si="117"/>
        <v>0</v>
      </c>
      <c r="BI134" s="14">
        <f t="shared" si="118"/>
        <v>0</v>
      </c>
      <c r="BJ134" s="14">
        <f t="shared" si="119"/>
        <v>0</v>
      </c>
    </row>
    <row r="135" spans="1:62" x14ac:dyDescent="0.2">
      <c r="A135" s="4" t="s">
        <v>111</v>
      </c>
      <c r="B135" s="4" t="s">
        <v>255</v>
      </c>
      <c r="C135" s="113" t="s">
        <v>426</v>
      </c>
      <c r="D135" s="114"/>
      <c r="E135" s="114"/>
      <c r="F135" s="4" t="s">
        <v>488</v>
      </c>
      <c r="G135" s="59">
        <v>2.6480000000000001</v>
      </c>
      <c r="H135" s="14">
        <v>0</v>
      </c>
      <c r="I135" s="14">
        <f t="shared" si="96"/>
        <v>0</v>
      </c>
      <c r="J135" s="14">
        <f t="shared" si="97"/>
        <v>0</v>
      </c>
      <c r="K135" s="14">
        <f t="shared" si="98"/>
        <v>0</v>
      </c>
      <c r="L135" s="24" t="s">
        <v>505</v>
      </c>
      <c r="Z135" s="28">
        <f t="shared" si="99"/>
        <v>0</v>
      </c>
      <c r="AB135" s="28">
        <f t="shared" si="100"/>
        <v>0</v>
      </c>
      <c r="AC135" s="28">
        <f t="shared" si="101"/>
        <v>0</v>
      </c>
      <c r="AD135" s="28">
        <f t="shared" si="102"/>
        <v>0</v>
      </c>
      <c r="AE135" s="28">
        <f t="shared" si="103"/>
        <v>0</v>
      </c>
      <c r="AF135" s="28">
        <f t="shared" si="104"/>
        <v>0</v>
      </c>
      <c r="AG135" s="28">
        <f t="shared" si="105"/>
        <v>0</v>
      </c>
      <c r="AH135" s="28">
        <f t="shared" si="106"/>
        <v>0</v>
      </c>
      <c r="AI135" s="23" t="s">
        <v>515</v>
      </c>
      <c r="AJ135" s="14">
        <f t="shared" si="107"/>
        <v>0</v>
      </c>
      <c r="AK135" s="14">
        <f t="shared" si="108"/>
        <v>0</v>
      </c>
      <c r="AL135" s="14">
        <f t="shared" si="109"/>
        <v>0</v>
      </c>
      <c r="AN135" s="28">
        <v>21</v>
      </c>
      <c r="AO135" s="28">
        <f t="shared" si="110"/>
        <v>0</v>
      </c>
      <c r="AP135" s="28">
        <f t="shared" si="111"/>
        <v>0</v>
      </c>
      <c r="AQ135" s="24" t="s">
        <v>11</v>
      </c>
      <c r="AV135" s="28">
        <f t="shared" si="112"/>
        <v>0</v>
      </c>
      <c r="AW135" s="28">
        <f t="shared" si="113"/>
        <v>0</v>
      </c>
      <c r="AX135" s="28">
        <f t="shared" si="114"/>
        <v>0</v>
      </c>
      <c r="AY135" s="29" t="s">
        <v>528</v>
      </c>
      <c r="AZ135" s="29" t="s">
        <v>541</v>
      </c>
      <c r="BA135" s="23" t="s">
        <v>546</v>
      </c>
      <c r="BC135" s="28">
        <f t="shared" si="115"/>
        <v>0</v>
      </c>
      <c r="BD135" s="28">
        <f t="shared" si="116"/>
        <v>0</v>
      </c>
      <c r="BE135" s="28">
        <v>0</v>
      </c>
      <c r="BF135" s="28">
        <f>135</f>
        <v>135</v>
      </c>
      <c r="BH135" s="14">
        <f t="shared" si="117"/>
        <v>0</v>
      </c>
      <c r="BI135" s="14">
        <f t="shared" si="118"/>
        <v>0</v>
      </c>
      <c r="BJ135" s="14">
        <f t="shared" si="119"/>
        <v>0</v>
      </c>
    </row>
    <row r="136" spans="1:62" x14ac:dyDescent="0.2">
      <c r="A136" s="4" t="s">
        <v>112</v>
      </c>
      <c r="B136" s="4" t="s">
        <v>256</v>
      </c>
      <c r="C136" s="113" t="s">
        <v>427</v>
      </c>
      <c r="D136" s="114"/>
      <c r="E136" s="114"/>
      <c r="F136" s="4" t="s">
        <v>488</v>
      </c>
      <c r="G136" s="59">
        <v>33.296999999999997</v>
      </c>
      <c r="H136" s="14">
        <v>0</v>
      </c>
      <c r="I136" s="14">
        <f t="shared" si="96"/>
        <v>0</v>
      </c>
      <c r="J136" s="14">
        <f t="shared" si="97"/>
        <v>0</v>
      </c>
      <c r="K136" s="14">
        <f t="shared" si="98"/>
        <v>0</v>
      </c>
      <c r="L136" s="24" t="s">
        <v>505</v>
      </c>
      <c r="Z136" s="28">
        <f t="shared" si="99"/>
        <v>0</v>
      </c>
      <c r="AB136" s="28">
        <f t="shared" si="100"/>
        <v>0</v>
      </c>
      <c r="AC136" s="28">
        <f t="shared" si="101"/>
        <v>0</v>
      </c>
      <c r="AD136" s="28">
        <f t="shared" si="102"/>
        <v>0</v>
      </c>
      <c r="AE136" s="28">
        <f t="shared" si="103"/>
        <v>0</v>
      </c>
      <c r="AF136" s="28">
        <f t="shared" si="104"/>
        <v>0</v>
      </c>
      <c r="AG136" s="28">
        <f t="shared" si="105"/>
        <v>0</v>
      </c>
      <c r="AH136" s="28">
        <f t="shared" si="106"/>
        <v>0</v>
      </c>
      <c r="AI136" s="23" t="s">
        <v>515</v>
      </c>
      <c r="AJ136" s="14">
        <f t="shared" si="107"/>
        <v>0</v>
      </c>
      <c r="AK136" s="14">
        <f t="shared" si="108"/>
        <v>0</v>
      </c>
      <c r="AL136" s="14">
        <f t="shared" si="109"/>
        <v>0</v>
      </c>
      <c r="AN136" s="28">
        <v>21</v>
      </c>
      <c r="AO136" s="28">
        <f t="shared" si="110"/>
        <v>0</v>
      </c>
      <c r="AP136" s="28">
        <f t="shared" si="111"/>
        <v>0</v>
      </c>
      <c r="AQ136" s="24" t="s">
        <v>11</v>
      </c>
      <c r="AV136" s="28">
        <f t="shared" si="112"/>
        <v>0</v>
      </c>
      <c r="AW136" s="28">
        <f t="shared" si="113"/>
        <v>0</v>
      </c>
      <c r="AX136" s="28">
        <f t="shared" si="114"/>
        <v>0</v>
      </c>
      <c r="AY136" s="29" t="s">
        <v>528</v>
      </c>
      <c r="AZ136" s="29" t="s">
        <v>541</v>
      </c>
      <c r="BA136" s="23" t="s">
        <v>546</v>
      </c>
      <c r="BC136" s="28">
        <f t="shared" si="115"/>
        <v>0</v>
      </c>
      <c r="BD136" s="28">
        <f t="shared" si="116"/>
        <v>0</v>
      </c>
      <c r="BE136" s="28">
        <v>0</v>
      </c>
      <c r="BF136" s="28">
        <f>136</f>
        <v>136</v>
      </c>
      <c r="BH136" s="14">
        <f t="shared" si="117"/>
        <v>0</v>
      </c>
      <c r="BI136" s="14">
        <f t="shared" si="118"/>
        <v>0</v>
      </c>
      <c r="BJ136" s="14">
        <f t="shared" si="119"/>
        <v>0</v>
      </c>
    </row>
    <row r="137" spans="1:62" x14ac:dyDescent="0.2">
      <c r="A137" s="4" t="s">
        <v>113</v>
      </c>
      <c r="B137" s="4" t="s">
        <v>257</v>
      </c>
      <c r="C137" s="113" t="s">
        <v>428</v>
      </c>
      <c r="D137" s="114"/>
      <c r="E137" s="114"/>
      <c r="F137" s="4" t="s">
        <v>488</v>
      </c>
      <c r="G137" s="59">
        <v>0.224</v>
      </c>
      <c r="H137" s="14">
        <v>0</v>
      </c>
      <c r="I137" s="14">
        <f t="shared" si="96"/>
        <v>0</v>
      </c>
      <c r="J137" s="14">
        <f t="shared" si="97"/>
        <v>0</v>
      </c>
      <c r="K137" s="14">
        <f t="shared" si="98"/>
        <v>0</v>
      </c>
      <c r="L137" s="24" t="s">
        <v>505</v>
      </c>
      <c r="Z137" s="28">
        <f t="shared" si="99"/>
        <v>0</v>
      </c>
      <c r="AB137" s="28">
        <f t="shared" si="100"/>
        <v>0</v>
      </c>
      <c r="AC137" s="28">
        <f t="shared" si="101"/>
        <v>0</v>
      </c>
      <c r="AD137" s="28">
        <f t="shared" si="102"/>
        <v>0</v>
      </c>
      <c r="AE137" s="28">
        <f t="shared" si="103"/>
        <v>0</v>
      </c>
      <c r="AF137" s="28">
        <f t="shared" si="104"/>
        <v>0</v>
      </c>
      <c r="AG137" s="28">
        <f t="shared" si="105"/>
        <v>0</v>
      </c>
      <c r="AH137" s="28">
        <f t="shared" si="106"/>
        <v>0</v>
      </c>
      <c r="AI137" s="23" t="s">
        <v>515</v>
      </c>
      <c r="AJ137" s="14">
        <f t="shared" si="107"/>
        <v>0</v>
      </c>
      <c r="AK137" s="14">
        <f t="shared" si="108"/>
        <v>0</v>
      </c>
      <c r="AL137" s="14">
        <f t="shared" si="109"/>
        <v>0</v>
      </c>
      <c r="AN137" s="28">
        <v>21</v>
      </c>
      <c r="AO137" s="28">
        <f t="shared" si="110"/>
        <v>0</v>
      </c>
      <c r="AP137" s="28">
        <f t="shared" si="111"/>
        <v>0</v>
      </c>
      <c r="AQ137" s="24" t="s">
        <v>11</v>
      </c>
      <c r="AV137" s="28">
        <f t="shared" si="112"/>
        <v>0</v>
      </c>
      <c r="AW137" s="28">
        <f t="shared" si="113"/>
        <v>0</v>
      </c>
      <c r="AX137" s="28">
        <f t="shared" si="114"/>
        <v>0</v>
      </c>
      <c r="AY137" s="29" t="s">
        <v>528</v>
      </c>
      <c r="AZ137" s="29" t="s">
        <v>541</v>
      </c>
      <c r="BA137" s="23" t="s">
        <v>546</v>
      </c>
      <c r="BC137" s="28">
        <f t="shared" si="115"/>
        <v>0</v>
      </c>
      <c r="BD137" s="28">
        <f t="shared" si="116"/>
        <v>0</v>
      </c>
      <c r="BE137" s="28">
        <v>0</v>
      </c>
      <c r="BF137" s="28">
        <f>137</f>
        <v>137</v>
      </c>
      <c r="BH137" s="14">
        <f t="shared" si="117"/>
        <v>0</v>
      </c>
      <c r="BI137" s="14">
        <f t="shared" si="118"/>
        <v>0</v>
      </c>
      <c r="BJ137" s="14">
        <f t="shared" si="119"/>
        <v>0</v>
      </c>
    </row>
    <row r="138" spans="1:62" x14ac:dyDescent="0.2">
      <c r="A138" s="4" t="s">
        <v>114</v>
      </c>
      <c r="B138" s="4" t="s">
        <v>258</v>
      </c>
      <c r="C138" s="113" t="s">
        <v>429</v>
      </c>
      <c r="D138" s="114"/>
      <c r="E138" s="114"/>
      <c r="F138" s="4" t="s">
        <v>488</v>
      </c>
      <c r="G138" s="59">
        <v>0.27500000000000002</v>
      </c>
      <c r="H138" s="14">
        <v>0</v>
      </c>
      <c r="I138" s="14">
        <f t="shared" si="96"/>
        <v>0</v>
      </c>
      <c r="J138" s="14">
        <f t="shared" si="97"/>
        <v>0</v>
      </c>
      <c r="K138" s="14">
        <f t="shared" si="98"/>
        <v>0</v>
      </c>
      <c r="L138" s="24" t="s">
        <v>505</v>
      </c>
      <c r="Z138" s="28">
        <f t="shared" si="99"/>
        <v>0</v>
      </c>
      <c r="AB138" s="28">
        <f t="shared" si="100"/>
        <v>0</v>
      </c>
      <c r="AC138" s="28">
        <f t="shared" si="101"/>
        <v>0</v>
      </c>
      <c r="AD138" s="28">
        <f t="shared" si="102"/>
        <v>0</v>
      </c>
      <c r="AE138" s="28">
        <f t="shared" si="103"/>
        <v>0</v>
      </c>
      <c r="AF138" s="28">
        <f t="shared" si="104"/>
        <v>0</v>
      </c>
      <c r="AG138" s="28">
        <f t="shared" si="105"/>
        <v>0</v>
      </c>
      <c r="AH138" s="28">
        <f t="shared" si="106"/>
        <v>0</v>
      </c>
      <c r="AI138" s="23" t="s">
        <v>515</v>
      </c>
      <c r="AJ138" s="14">
        <f t="shared" si="107"/>
        <v>0</v>
      </c>
      <c r="AK138" s="14">
        <f t="shared" si="108"/>
        <v>0</v>
      </c>
      <c r="AL138" s="14">
        <f t="shared" si="109"/>
        <v>0</v>
      </c>
      <c r="AN138" s="28">
        <v>21</v>
      </c>
      <c r="AO138" s="28">
        <f t="shared" si="110"/>
        <v>0</v>
      </c>
      <c r="AP138" s="28">
        <f t="shared" si="111"/>
        <v>0</v>
      </c>
      <c r="AQ138" s="24" t="s">
        <v>11</v>
      </c>
      <c r="AV138" s="28">
        <f t="shared" si="112"/>
        <v>0</v>
      </c>
      <c r="AW138" s="28">
        <f t="shared" si="113"/>
        <v>0</v>
      </c>
      <c r="AX138" s="28">
        <f t="shared" si="114"/>
        <v>0</v>
      </c>
      <c r="AY138" s="29" t="s">
        <v>528</v>
      </c>
      <c r="AZ138" s="29" t="s">
        <v>541</v>
      </c>
      <c r="BA138" s="23" t="s">
        <v>546</v>
      </c>
      <c r="BC138" s="28">
        <f t="shared" si="115"/>
        <v>0</v>
      </c>
      <c r="BD138" s="28">
        <f t="shared" si="116"/>
        <v>0</v>
      </c>
      <c r="BE138" s="28">
        <v>0</v>
      </c>
      <c r="BF138" s="28">
        <f>138</f>
        <v>138</v>
      </c>
      <c r="BH138" s="14">
        <f t="shared" si="117"/>
        <v>0</v>
      </c>
      <c r="BI138" s="14">
        <f t="shared" si="118"/>
        <v>0</v>
      </c>
      <c r="BJ138" s="14">
        <f t="shared" si="119"/>
        <v>0</v>
      </c>
    </row>
    <row r="139" spans="1:62" x14ac:dyDescent="0.2">
      <c r="A139" s="4" t="s">
        <v>115</v>
      </c>
      <c r="B139" s="4" t="s">
        <v>259</v>
      </c>
      <c r="C139" s="113" t="s">
        <v>430</v>
      </c>
      <c r="D139" s="114"/>
      <c r="E139" s="114"/>
      <c r="F139" s="4" t="s">
        <v>488</v>
      </c>
      <c r="G139" s="59">
        <v>10.465999999999999</v>
      </c>
      <c r="H139" s="14">
        <v>0</v>
      </c>
      <c r="I139" s="14">
        <f t="shared" si="96"/>
        <v>0</v>
      </c>
      <c r="J139" s="14">
        <f t="shared" si="97"/>
        <v>0</v>
      </c>
      <c r="K139" s="14">
        <f t="shared" si="98"/>
        <v>0</v>
      </c>
      <c r="L139" s="24" t="s">
        <v>505</v>
      </c>
      <c r="Z139" s="28">
        <f t="shared" si="99"/>
        <v>0</v>
      </c>
      <c r="AB139" s="28">
        <f t="shared" si="100"/>
        <v>0</v>
      </c>
      <c r="AC139" s="28">
        <f t="shared" si="101"/>
        <v>0</v>
      </c>
      <c r="AD139" s="28">
        <f t="shared" si="102"/>
        <v>0</v>
      </c>
      <c r="AE139" s="28">
        <f t="shared" si="103"/>
        <v>0</v>
      </c>
      <c r="AF139" s="28">
        <f t="shared" si="104"/>
        <v>0</v>
      </c>
      <c r="AG139" s="28">
        <f t="shared" si="105"/>
        <v>0</v>
      </c>
      <c r="AH139" s="28">
        <f t="shared" si="106"/>
        <v>0</v>
      </c>
      <c r="AI139" s="23" t="s">
        <v>515</v>
      </c>
      <c r="AJ139" s="14">
        <f t="shared" si="107"/>
        <v>0</v>
      </c>
      <c r="AK139" s="14">
        <f t="shared" si="108"/>
        <v>0</v>
      </c>
      <c r="AL139" s="14">
        <f t="shared" si="109"/>
        <v>0</v>
      </c>
      <c r="AN139" s="28">
        <v>21</v>
      </c>
      <c r="AO139" s="28">
        <f t="shared" si="110"/>
        <v>0</v>
      </c>
      <c r="AP139" s="28">
        <f t="shared" si="111"/>
        <v>0</v>
      </c>
      <c r="AQ139" s="24" t="s">
        <v>11</v>
      </c>
      <c r="AV139" s="28">
        <f t="shared" si="112"/>
        <v>0</v>
      </c>
      <c r="AW139" s="28">
        <f t="shared" si="113"/>
        <v>0</v>
      </c>
      <c r="AX139" s="28">
        <f t="shared" si="114"/>
        <v>0</v>
      </c>
      <c r="AY139" s="29" t="s">
        <v>528</v>
      </c>
      <c r="AZ139" s="29" t="s">
        <v>541</v>
      </c>
      <c r="BA139" s="23" t="s">
        <v>546</v>
      </c>
      <c r="BC139" s="28">
        <f t="shared" si="115"/>
        <v>0</v>
      </c>
      <c r="BD139" s="28">
        <f t="shared" si="116"/>
        <v>0</v>
      </c>
      <c r="BE139" s="28">
        <v>0</v>
      </c>
      <c r="BF139" s="28">
        <f>139</f>
        <v>139</v>
      </c>
      <c r="BH139" s="14">
        <f t="shared" si="117"/>
        <v>0</v>
      </c>
      <c r="BI139" s="14">
        <f t="shared" si="118"/>
        <v>0</v>
      </c>
      <c r="BJ139" s="14">
        <f t="shared" si="119"/>
        <v>0</v>
      </c>
    </row>
    <row r="140" spans="1:62" x14ac:dyDescent="0.2">
      <c r="A140" s="3"/>
      <c r="B140" s="10" t="s">
        <v>260</v>
      </c>
      <c r="C140" s="120" t="s">
        <v>431</v>
      </c>
      <c r="D140" s="121"/>
      <c r="E140" s="121"/>
      <c r="F140" s="3" t="s">
        <v>6</v>
      </c>
      <c r="G140" s="3" t="s">
        <v>6</v>
      </c>
      <c r="H140" s="3" t="s">
        <v>6</v>
      </c>
      <c r="I140" s="30">
        <f>SUM(I141:I142)</f>
        <v>0</v>
      </c>
      <c r="J140" s="30">
        <f>SUM(J141:J142)</f>
        <v>0</v>
      </c>
      <c r="K140" s="30">
        <f>SUM(K141:K142)</f>
        <v>0</v>
      </c>
      <c r="L140" s="23"/>
      <c r="AI140" s="23" t="s">
        <v>515</v>
      </c>
      <c r="AS140" s="30">
        <f>SUM(AJ141:AJ142)</f>
        <v>0</v>
      </c>
      <c r="AT140" s="30">
        <f>SUM(AK141:AK142)</f>
        <v>0</v>
      </c>
      <c r="AU140" s="30">
        <f>SUM(AL141:AL142)</f>
        <v>0</v>
      </c>
    </row>
    <row r="141" spans="1:62" x14ac:dyDescent="0.2">
      <c r="A141" s="4" t="s">
        <v>116</v>
      </c>
      <c r="B141" s="4" t="s">
        <v>261</v>
      </c>
      <c r="C141" s="113" t="s">
        <v>432</v>
      </c>
      <c r="D141" s="114"/>
      <c r="E141" s="114"/>
      <c r="F141" s="4" t="s">
        <v>486</v>
      </c>
      <c r="G141" s="59">
        <v>353.45600000000002</v>
      </c>
      <c r="H141" s="14">
        <v>0</v>
      </c>
      <c r="I141" s="14">
        <f>G141*AO141</f>
        <v>0</v>
      </c>
      <c r="J141" s="14">
        <f>G141*AP141</f>
        <v>0</v>
      </c>
      <c r="K141" s="14">
        <f>G141*H141</f>
        <v>0</v>
      </c>
      <c r="L141" s="24" t="s">
        <v>505</v>
      </c>
      <c r="Z141" s="28">
        <f>IF(AQ141="5",BJ141,0)</f>
        <v>0</v>
      </c>
      <c r="AB141" s="28">
        <f>IF(AQ141="1",BH141,0)</f>
        <v>0</v>
      </c>
      <c r="AC141" s="28">
        <f>IF(AQ141="1",BI141,0)</f>
        <v>0</v>
      </c>
      <c r="AD141" s="28">
        <f>IF(AQ141="7",BH141,0)</f>
        <v>0</v>
      </c>
      <c r="AE141" s="28">
        <f>IF(AQ141="7",BI141,0)</f>
        <v>0</v>
      </c>
      <c r="AF141" s="28">
        <f>IF(AQ141="2",BH141,0)</f>
        <v>0</v>
      </c>
      <c r="AG141" s="28">
        <f>IF(AQ141="2",BI141,0)</f>
        <v>0</v>
      </c>
      <c r="AH141" s="28">
        <f>IF(AQ141="0",BJ141,0)</f>
        <v>0</v>
      </c>
      <c r="AI141" s="23" t="s">
        <v>515</v>
      </c>
      <c r="AJ141" s="14">
        <f>IF(AN141=0,K141,0)</f>
        <v>0</v>
      </c>
      <c r="AK141" s="14">
        <f>IF(AN141=15,K141,0)</f>
        <v>0</v>
      </c>
      <c r="AL141" s="14">
        <f>IF(AN141=21,K141,0)</f>
        <v>0</v>
      </c>
      <c r="AN141" s="28">
        <v>21</v>
      </c>
      <c r="AO141" s="28">
        <f>H141*0</f>
        <v>0</v>
      </c>
      <c r="AP141" s="28">
        <f>H141*(1-0)</f>
        <v>0</v>
      </c>
      <c r="AQ141" s="24" t="s">
        <v>13</v>
      </c>
      <c r="AV141" s="28">
        <f>AW141+AX141</f>
        <v>0</v>
      </c>
      <c r="AW141" s="28">
        <f>G141*AO141</f>
        <v>0</v>
      </c>
      <c r="AX141" s="28">
        <f>G141*AP141</f>
        <v>0</v>
      </c>
      <c r="AY141" s="29" t="s">
        <v>529</v>
      </c>
      <c r="AZ141" s="29" t="s">
        <v>542</v>
      </c>
      <c r="BA141" s="23" t="s">
        <v>546</v>
      </c>
      <c r="BC141" s="28">
        <f>AW141+AX141</f>
        <v>0</v>
      </c>
      <c r="BD141" s="28">
        <f>H141/(100-BE141)*100</f>
        <v>0</v>
      </c>
      <c r="BE141" s="28">
        <v>0</v>
      </c>
      <c r="BF141" s="28">
        <f>141</f>
        <v>141</v>
      </c>
      <c r="BH141" s="14">
        <f>G141*AO141</f>
        <v>0</v>
      </c>
      <c r="BI141" s="14">
        <f>G141*AP141</f>
        <v>0</v>
      </c>
      <c r="BJ141" s="14">
        <f>G141*H141</f>
        <v>0</v>
      </c>
    </row>
    <row r="142" spans="1:62" x14ac:dyDescent="0.2">
      <c r="A142" s="4" t="s">
        <v>117</v>
      </c>
      <c r="B142" s="4" t="s">
        <v>262</v>
      </c>
      <c r="C142" s="113" t="s">
        <v>433</v>
      </c>
      <c r="D142" s="114"/>
      <c r="E142" s="114"/>
      <c r="F142" s="4" t="s">
        <v>486</v>
      </c>
      <c r="G142" s="59">
        <v>172.53</v>
      </c>
      <c r="H142" s="14">
        <v>0</v>
      </c>
      <c r="I142" s="14">
        <f>G142*AO142</f>
        <v>0</v>
      </c>
      <c r="J142" s="14">
        <f>G142*AP142</f>
        <v>0</v>
      </c>
      <c r="K142" s="14">
        <f>G142*H142</f>
        <v>0</v>
      </c>
      <c r="L142" s="24" t="s">
        <v>505</v>
      </c>
      <c r="Z142" s="28">
        <f>IF(AQ142="5",BJ142,0)</f>
        <v>0</v>
      </c>
      <c r="AB142" s="28">
        <f>IF(AQ142="1",BH142,0)</f>
        <v>0</v>
      </c>
      <c r="AC142" s="28">
        <f>IF(AQ142="1",BI142,0)</f>
        <v>0</v>
      </c>
      <c r="AD142" s="28">
        <f>IF(AQ142="7",BH142,0)</f>
        <v>0</v>
      </c>
      <c r="AE142" s="28">
        <f>IF(AQ142="7",BI142,0)</f>
        <v>0</v>
      </c>
      <c r="AF142" s="28">
        <f>IF(AQ142="2",BH142,0)</f>
        <v>0</v>
      </c>
      <c r="AG142" s="28">
        <f>IF(AQ142="2",BI142,0)</f>
        <v>0</v>
      </c>
      <c r="AH142" s="28">
        <f>IF(AQ142="0",BJ142,0)</f>
        <v>0</v>
      </c>
      <c r="AI142" s="23" t="s">
        <v>515</v>
      </c>
      <c r="AJ142" s="14">
        <f>IF(AN142=0,K142,0)</f>
        <v>0</v>
      </c>
      <c r="AK142" s="14">
        <f>IF(AN142=15,K142,0)</f>
        <v>0</v>
      </c>
      <c r="AL142" s="14">
        <f>IF(AN142=21,K142,0)</f>
        <v>0</v>
      </c>
      <c r="AN142" s="28">
        <v>21</v>
      </c>
      <c r="AO142" s="28">
        <f>H142*0</f>
        <v>0</v>
      </c>
      <c r="AP142" s="28">
        <f>H142*(1-0)</f>
        <v>0</v>
      </c>
      <c r="AQ142" s="24" t="s">
        <v>13</v>
      </c>
      <c r="AV142" s="28">
        <f>AW142+AX142</f>
        <v>0</v>
      </c>
      <c r="AW142" s="28">
        <f>G142*AO142</f>
        <v>0</v>
      </c>
      <c r="AX142" s="28">
        <f>G142*AP142</f>
        <v>0</v>
      </c>
      <c r="AY142" s="29" t="s">
        <v>529</v>
      </c>
      <c r="AZ142" s="29" t="s">
        <v>542</v>
      </c>
      <c r="BA142" s="23" t="s">
        <v>546</v>
      </c>
      <c r="BC142" s="28">
        <f>AW142+AX142</f>
        <v>0</v>
      </c>
      <c r="BD142" s="28">
        <f>H142/(100-BE142)*100</f>
        <v>0</v>
      </c>
      <c r="BE142" s="28">
        <v>0</v>
      </c>
      <c r="BF142" s="28">
        <f>142</f>
        <v>142</v>
      </c>
      <c r="BH142" s="14">
        <f>G142*AO142</f>
        <v>0</v>
      </c>
      <c r="BI142" s="14">
        <f>G142*AP142</f>
        <v>0</v>
      </c>
      <c r="BJ142" s="14">
        <f>G142*H142</f>
        <v>0</v>
      </c>
    </row>
    <row r="143" spans="1:62" x14ac:dyDescent="0.2">
      <c r="A143" s="3"/>
      <c r="B143" s="10" t="s">
        <v>263</v>
      </c>
      <c r="C143" s="120" t="s">
        <v>434</v>
      </c>
      <c r="D143" s="121"/>
      <c r="E143" s="121"/>
      <c r="F143" s="3" t="s">
        <v>6</v>
      </c>
      <c r="G143" s="3" t="s">
        <v>6</v>
      </c>
      <c r="H143" s="3" t="s">
        <v>6</v>
      </c>
      <c r="I143" s="30">
        <f>SUM(I144:I144)</f>
        <v>0</v>
      </c>
      <c r="J143" s="30">
        <f>SUM(J144:J144)</f>
        <v>0</v>
      </c>
      <c r="K143" s="30">
        <f>SUM(K144:K144)</f>
        <v>0</v>
      </c>
      <c r="L143" s="23"/>
      <c r="AI143" s="23" t="s">
        <v>515</v>
      </c>
      <c r="AS143" s="30">
        <f>SUM(AJ144:AJ144)</f>
        <v>0</v>
      </c>
      <c r="AT143" s="30">
        <f>SUM(AK144:AK144)</f>
        <v>0</v>
      </c>
      <c r="AU143" s="30">
        <f>SUM(AL144:AL144)</f>
        <v>0</v>
      </c>
    </row>
    <row r="144" spans="1:62" x14ac:dyDescent="0.2">
      <c r="A144" s="4" t="s">
        <v>118</v>
      </c>
      <c r="B144" s="4" t="s">
        <v>264</v>
      </c>
      <c r="C144" s="113" t="s">
        <v>435</v>
      </c>
      <c r="D144" s="114"/>
      <c r="E144" s="114"/>
      <c r="F144" s="4" t="s">
        <v>486</v>
      </c>
      <c r="G144" s="59">
        <v>357.46899999999999</v>
      </c>
      <c r="H144" s="14">
        <v>0</v>
      </c>
      <c r="I144" s="14">
        <f>G144*AO144</f>
        <v>0</v>
      </c>
      <c r="J144" s="14">
        <f>G144*AP144</f>
        <v>0</v>
      </c>
      <c r="K144" s="14">
        <f>G144*H144</f>
        <v>0</v>
      </c>
      <c r="L144" s="24" t="s">
        <v>505</v>
      </c>
      <c r="Z144" s="28">
        <f>IF(AQ144="5",BJ144,0)</f>
        <v>0</v>
      </c>
      <c r="AB144" s="28">
        <f>IF(AQ144="1",BH144,0)</f>
        <v>0</v>
      </c>
      <c r="AC144" s="28">
        <f>IF(AQ144="1",BI144,0)</f>
        <v>0</v>
      </c>
      <c r="AD144" s="28">
        <f>IF(AQ144="7",BH144,0)</f>
        <v>0</v>
      </c>
      <c r="AE144" s="28">
        <f>IF(AQ144="7",BI144,0)</f>
        <v>0</v>
      </c>
      <c r="AF144" s="28">
        <f>IF(AQ144="2",BH144,0)</f>
        <v>0</v>
      </c>
      <c r="AG144" s="28">
        <f>IF(AQ144="2",BI144,0)</f>
        <v>0</v>
      </c>
      <c r="AH144" s="28">
        <f>IF(AQ144="0",BJ144,0)</f>
        <v>0</v>
      </c>
      <c r="AI144" s="23" t="s">
        <v>515</v>
      </c>
      <c r="AJ144" s="14">
        <f>IF(AN144=0,K144,0)</f>
        <v>0</v>
      </c>
      <c r="AK144" s="14">
        <f>IF(AN144=15,K144,0)</f>
        <v>0</v>
      </c>
      <c r="AL144" s="14">
        <f>IF(AN144=21,K144,0)</f>
        <v>0</v>
      </c>
      <c r="AN144" s="28">
        <v>21</v>
      </c>
      <c r="AO144" s="28">
        <f>H144*0</f>
        <v>0</v>
      </c>
      <c r="AP144" s="28">
        <f>H144*(1-0)</f>
        <v>0</v>
      </c>
      <c r="AQ144" s="24" t="s">
        <v>13</v>
      </c>
      <c r="AV144" s="28">
        <f>AW144+AX144</f>
        <v>0</v>
      </c>
      <c r="AW144" s="28">
        <f>G144*AO144</f>
        <v>0</v>
      </c>
      <c r="AX144" s="28">
        <f>G144*AP144</f>
        <v>0</v>
      </c>
      <c r="AY144" s="29" t="s">
        <v>530</v>
      </c>
      <c r="AZ144" s="29" t="s">
        <v>542</v>
      </c>
      <c r="BA144" s="23" t="s">
        <v>546</v>
      </c>
      <c r="BC144" s="28">
        <f>AW144+AX144</f>
        <v>0</v>
      </c>
      <c r="BD144" s="28">
        <f>H144/(100-BE144)*100</f>
        <v>0</v>
      </c>
      <c r="BE144" s="28">
        <v>0</v>
      </c>
      <c r="BF144" s="28">
        <f>144</f>
        <v>144</v>
      </c>
      <c r="BH144" s="14">
        <f>G144*AO144</f>
        <v>0</v>
      </c>
      <c r="BI144" s="14">
        <f>G144*AP144</f>
        <v>0</v>
      </c>
      <c r="BJ144" s="14">
        <f>G144*H144</f>
        <v>0</v>
      </c>
    </row>
    <row r="145" spans="1:62" x14ac:dyDescent="0.2">
      <c r="A145" s="3"/>
      <c r="B145" s="10" t="s">
        <v>265</v>
      </c>
      <c r="C145" s="120" t="s">
        <v>436</v>
      </c>
      <c r="D145" s="121"/>
      <c r="E145" s="121"/>
      <c r="F145" s="3" t="s">
        <v>6</v>
      </c>
      <c r="G145" s="3" t="s">
        <v>6</v>
      </c>
      <c r="H145" s="3" t="s">
        <v>6</v>
      </c>
      <c r="I145" s="30">
        <f>SUM(I146:I146)</f>
        <v>0</v>
      </c>
      <c r="J145" s="30">
        <f>SUM(J146:J146)</f>
        <v>0</v>
      </c>
      <c r="K145" s="30">
        <f>SUM(K146:K146)</f>
        <v>0</v>
      </c>
      <c r="L145" s="23"/>
      <c r="AI145" s="23" t="s">
        <v>515</v>
      </c>
      <c r="AS145" s="30">
        <f>SUM(AJ146:AJ146)</f>
        <v>0</v>
      </c>
      <c r="AT145" s="30">
        <f>SUM(AK146:AK146)</f>
        <v>0</v>
      </c>
      <c r="AU145" s="30">
        <f>SUM(AL146:AL146)</f>
        <v>0</v>
      </c>
    </row>
    <row r="146" spans="1:62" x14ac:dyDescent="0.2">
      <c r="A146" s="4" t="s">
        <v>119</v>
      </c>
      <c r="B146" s="4" t="s">
        <v>266</v>
      </c>
      <c r="C146" s="113" t="s">
        <v>437</v>
      </c>
      <c r="D146" s="114"/>
      <c r="E146" s="114"/>
      <c r="F146" s="4" t="s">
        <v>486</v>
      </c>
      <c r="G146" s="59">
        <v>344.77800000000002</v>
      </c>
      <c r="H146" s="14">
        <v>0</v>
      </c>
      <c r="I146" s="14">
        <f>G146*AO146</f>
        <v>0</v>
      </c>
      <c r="J146" s="14">
        <f>G146*AP146</f>
        <v>0</v>
      </c>
      <c r="K146" s="14">
        <f>G146*H146</f>
        <v>0</v>
      </c>
      <c r="L146" s="24" t="s">
        <v>505</v>
      </c>
      <c r="Z146" s="28">
        <f>IF(AQ146="5",BJ146,0)</f>
        <v>0</v>
      </c>
      <c r="AB146" s="28">
        <f>IF(AQ146="1",BH146,0)</f>
        <v>0</v>
      </c>
      <c r="AC146" s="28">
        <f>IF(AQ146="1",BI146,0)</f>
        <v>0</v>
      </c>
      <c r="AD146" s="28">
        <f>IF(AQ146="7",BH146,0)</f>
        <v>0</v>
      </c>
      <c r="AE146" s="28">
        <f>IF(AQ146="7",BI146,0)</f>
        <v>0</v>
      </c>
      <c r="AF146" s="28">
        <f>IF(AQ146="2",BH146,0)</f>
        <v>0</v>
      </c>
      <c r="AG146" s="28">
        <f>IF(AQ146="2",BI146,0)</f>
        <v>0</v>
      </c>
      <c r="AH146" s="28">
        <f>IF(AQ146="0",BJ146,0)</f>
        <v>0</v>
      </c>
      <c r="AI146" s="23" t="s">
        <v>515</v>
      </c>
      <c r="AJ146" s="14">
        <f>IF(AN146=0,K146,0)</f>
        <v>0</v>
      </c>
      <c r="AK146" s="14">
        <f>IF(AN146=15,K146,0)</f>
        <v>0</v>
      </c>
      <c r="AL146" s="14">
        <f>IF(AN146=21,K146,0)</f>
        <v>0</v>
      </c>
      <c r="AN146" s="28">
        <v>21</v>
      </c>
      <c r="AO146" s="28">
        <f>H146*0</f>
        <v>0</v>
      </c>
      <c r="AP146" s="28">
        <f>H146*(1-0)</f>
        <v>0</v>
      </c>
      <c r="AQ146" s="24" t="s">
        <v>13</v>
      </c>
      <c r="AV146" s="28">
        <f>AW146+AX146</f>
        <v>0</v>
      </c>
      <c r="AW146" s="28">
        <f>G146*AO146</f>
        <v>0</v>
      </c>
      <c r="AX146" s="28">
        <f>G146*AP146</f>
        <v>0</v>
      </c>
      <c r="AY146" s="29" t="s">
        <v>531</v>
      </c>
      <c r="AZ146" s="29" t="s">
        <v>542</v>
      </c>
      <c r="BA146" s="23" t="s">
        <v>546</v>
      </c>
      <c r="BC146" s="28">
        <f>AW146+AX146</f>
        <v>0</v>
      </c>
      <c r="BD146" s="28">
        <f>H146/(100-BE146)*100</f>
        <v>0</v>
      </c>
      <c r="BE146" s="28">
        <v>0</v>
      </c>
      <c r="BF146" s="28">
        <f>146</f>
        <v>146</v>
      </c>
      <c r="BH146" s="14">
        <f>G146*AO146</f>
        <v>0</v>
      </c>
      <c r="BI146" s="14">
        <f>G146*AP146</f>
        <v>0</v>
      </c>
      <c r="BJ146" s="14">
        <f>G146*H146</f>
        <v>0</v>
      </c>
    </row>
    <row r="147" spans="1:62" x14ac:dyDescent="0.2">
      <c r="A147" s="3"/>
      <c r="B147" s="10" t="s">
        <v>267</v>
      </c>
      <c r="C147" s="120" t="s">
        <v>438</v>
      </c>
      <c r="D147" s="121"/>
      <c r="E147" s="121"/>
      <c r="F147" s="3" t="s">
        <v>6</v>
      </c>
      <c r="G147" s="3" t="s">
        <v>6</v>
      </c>
      <c r="H147" s="3" t="s">
        <v>6</v>
      </c>
      <c r="I147" s="30">
        <f>SUM(I148:I150)</f>
        <v>0</v>
      </c>
      <c r="J147" s="30">
        <f>SUM(J148:J150)</f>
        <v>0</v>
      </c>
      <c r="K147" s="30">
        <f>SUM(K148:K150)</f>
        <v>0</v>
      </c>
      <c r="L147" s="23"/>
      <c r="AI147" s="23" t="s">
        <v>515</v>
      </c>
      <c r="AS147" s="30">
        <f>SUM(AJ148:AJ150)</f>
        <v>0</v>
      </c>
      <c r="AT147" s="30">
        <f>SUM(AK148:AK150)</f>
        <v>0</v>
      </c>
      <c r="AU147" s="30">
        <f>SUM(AL148:AL150)</f>
        <v>0</v>
      </c>
    </row>
    <row r="148" spans="1:62" x14ac:dyDescent="0.2">
      <c r="A148" s="4" t="s">
        <v>120</v>
      </c>
      <c r="B148" s="4" t="s">
        <v>268</v>
      </c>
      <c r="C148" s="113" t="s">
        <v>439</v>
      </c>
      <c r="D148" s="114"/>
      <c r="E148" s="114"/>
      <c r="F148" s="4" t="s">
        <v>486</v>
      </c>
      <c r="G148" s="59">
        <v>344.77800000000002</v>
      </c>
      <c r="H148" s="14">
        <v>0</v>
      </c>
      <c r="I148" s="14">
        <f>G148*AO148</f>
        <v>0</v>
      </c>
      <c r="J148" s="14">
        <f>G148*AP148</f>
        <v>0</v>
      </c>
      <c r="K148" s="14">
        <f>G148*H148</f>
        <v>0</v>
      </c>
      <c r="L148" s="24" t="s">
        <v>505</v>
      </c>
      <c r="Z148" s="28">
        <f>IF(AQ148="5",BJ148,0)</f>
        <v>0</v>
      </c>
      <c r="AB148" s="28">
        <f>IF(AQ148="1",BH148,0)</f>
        <v>0</v>
      </c>
      <c r="AC148" s="28">
        <f>IF(AQ148="1",BI148,0)</f>
        <v>0</v>
      </c>
      <c r="AD148" s="28">
        <f>IF(AQ148="7",BH148,0)</f>
        <v>0</v>
      </c>
      <c r="AE148" s="28">
        <f>IF(AQ148="7",BI148,0)</f>
        <v>0</v>
      </c>
      <c r="AF148" s="28">
        <f>IF(AQ148="2",BH148,0)</f>
        <v>0</v>
      </c>
      <c r="AG148" s="28">
        <f>IF(AQ148="2",BI148,0)</f>
        <v>0</v>
      </c>
      <c r="AH148" s="28">
        <f>IF(AQ148="0",BJ148,0)</f>
        <v>0</v>
      </c>
      <c r="AI148" s="23" t="s">
        <v>515</v>
      </c>
      <c r="AJ148" s="14">
        <f>IF(AN148=0,K148,0)</f>
        <v>0</v>
      </c>
      <c r="AK148" s="14">
        <f>IF(AN148=15,K148,0)</f>
        <v>0</v>
      </c>
      <c r="AL148" s="14">
        <f>IF(AN148=21,K148,0)</f>
        <v>0</v>
      </c>
      <c r="AN148" s="28">
        <v>21</v>
      </c>
      <c r="AO148" s="28">
        <f>H148*0</f>
        <v>0</v>
      </c>
      <c r="AP148" s="28">
        <f>H148*(1-0)</f>
        <v>0</v>
      </c>
      <c r="AQ148" s="24" t="s">
        <v>13</v>
      </c>
      <c r="AV148" s="28">
        <f>AW148+AX148</f>
        <v>0</v>
      </c>
      <c r="AW148" s="28">
        <f>G148*AO148</f>
        <v>0</v>
      </c>
      <c r="AX148" s="28">
        <f>G148*AP148</f>
        <v>0</v>
      </c>
      <c r="AY148" s="29" t="s">
        <v>532</v>
      </c>
      <c r="AZ148" s="29" t="s">
        <v>543</v>
      </c>
      <c r="BA148" s="23" t="s">
        <v>546</v>
      </c>
      <c r="BC148" s="28">
        <f>AW148+AX148</f>
        <v>0</v>
      </c>
      <c r="BD148" s="28">
        <f>H148/(100-BE148)*100</f>
        <v>0</v>
      </c>
      <c r="BE148" s="28">
        <v>0</v>
      </c>
      <c r="BF148" s="28">
        <f>148</f>
        <v>148</v>
      </c>
      <c r="BH148" s="14">
        <f>G148*AO148</f>
        <v>0</v>
      </c>
      <c r="BI148" s="14">
        <f>G148*AP148</f>
        <v>0</v>
      </c>
      <c r="BJ148" s="14">
        <f>G148*H148</f>
        <v>0</v>
      </c>
    </row>
    <row r="149" spans="1:62" x14ac:dyDescent="0.2">
      <c r="A149" s="4" t="s">
        <v>121</v>
      </c>
      <c r="B149" s="4" t="s">
        <v>269</v>
      </c>
      <c r="C149" s="113" t="s">
        <v>440</v>
      </c>
      <c r="D149" s="114"/>
      <c r="E149" s="114"/>
      <c r="F149" s="4" t="s">
        <v>486</v>
      </c>
      <c r="G149" s="59">
        <v>105.76</v>
      </c>
      <c r="H149" s="14">
        <v>0</v>
      </c>
      <c r="I149" s="14">
        <f>G149*AO149</f>
        <v>0</v>
      </c>
      <c r="J149" s="14">
        <f>G149*AP149</f>
        <v>0</v>
      </c>
      <c r="K149" s="14">
        <f>G149*H149</f>
        <v>0</v>
      </c>
      <c r="L149" s="24" t="s">
        <v>505</v>
      </c>
      <c r="Z149" s="28">
        <f>IF(AQ149="5",BJ149,0)</f>
        <v>0</v>
      </c>
      <c r="AB149" s="28">
        <f>IF(AQ149="1",BH149,0)</f>
        <v>0</v>
      </c>
      <c r="AC149" s="28">
        <f>IF(AQ149="1",BI149,0)</f>
        <v>0</v>
      </c>
      <c r="AD149" s="28">
        <f>IF(AQ149="7",BH149,0)</f>
        <v>0</v>
      </c>
      <c r="AE149" s="28">
        <f>IF(AQ149="7",BI149,0)</f>
        <v>0</v>
      </c>
      <c r="AF149" s="28">
        <f>IF(AQ149="2",BH149,0)</f>
        <v>0</v>
      </c>
      <c r="AG149" s="28">
        <f>IF(AQ149="2",BI149,0)</f>
        <v>0</v>
      </c>
      <c r="AH149" s="28">
        <f>IF(AQ149="0",BJ149,0)</f>
        <v>0</v>
      </c>
      <c r="AI149" s="23" t="s">
        <v>515</v>
      </c>
      <c r="AJ149" s="14">
        <f>IF(AN149=0,K149,0)</f>
        <v>0</v>
      </c>
      <c r="AK149" s="14">
        <f>IF(AN149=15,K149,0)</f>
        <v>0</v>
      </c>
      <c r="AL149" s="14">
        <f>IF(AN149=21,K149,0)</f>
        <v>0</v>
      </c>
      <c r="AN149" s="28">
        <v>21</v>
      </c>
      <c r="AO149" s="28">
        <f>H149*0</f>
        <v>0</v>
      </c>
      <c r="AP149" s="28">
        <f>H149*(1-0)</f>
        <v>0</v>
      </c>
      <c r="AQ149" s="24" t="s">
        <v>13</v>
      </c>
      <c r="AV149" s="28">
        <f>AW149+AX149</f>
        <v>0</v>
      </c>
      <c r="AW149" s="28">
        <f>G149*AO149</f>
        <v>0</v>
      </c>
      <c r="AX149" s="28">
        <f>G149*AP149</f>
        <v>0</v>
      </c>
      <c r="AY149" s="29" t="s">
        <v>532</v>
      </c>
      <c r="AZ149" s="29" t="s">
        <v>543</v>
      </c>
      <c r="BA149" s="23" t="s">
        <v>546</v>
      </c>
      <c r="BC149" s="28">
        <f>AW149+AX149</f>
        <v>0</v>
      </c>
      <c r="BD149" s="28">
        <f>H149/(100-BE149)*100</f>
        <v>0</v>
      </c>
      <c r="BE149" s="28">
        <v>0</v>
      </c>
      <c r="BF149" s="28">
        <f>149</f>
        <v>149</v>
      </c>
      <c r="BH149" s="14">
        <f>G149*AO149</f>
        <v>0</v>
      </c>
      <c r="BI149" s="14">
        <f>G149*AP149</f>
        <v>0</v>
      </c>
      <c r="BJ149" s="14">
        <f>G149*H149</f>
        <v>0</v>
      </c>
    </row>
    <row r="150" spans="1:62" x14ac:dyDescent="0.2">
      <c r="A150" s="4" t="s">
        <v>122</v>
      </c>
      <c r="B150" s="4" t="s">
        <v>270</v>
      </c>
      <c r="C150" s="113" t="s">
        <v>441</v>
      </c>
      <c r="D150" s="114"/>
      <c r="E150" s="114"/>
      <c r="F150" s="4" t="s">
        <v>486</v>
      </c>
      <c r="G150" s="59">
        <v>344.77800000000002</v>
      </c>
      <c r="H150" s="14">
        <v>0</v>
      </c>
      <c r="I150" s="14">
        <f>G150*AO150</f>
        <v>0</v>
      </c>
      <c r="J150" s="14">
        <f>G150*AP150</f>
        <v>0</v>
      </c>
      <c r="K150" s="14">
        <f>G150*H150</f>
        <v>0</v>
      </c>
      <c r="L150" s="24" t="s">
        <v>505</v>
      </c>
      <c r="Z150" s="28">
        <f>IF(AQ150="5",BJ150,0)</f>
        <v>0</v>
      </c>
      <c r="AB150" s="28">
        <f>IF(AQ150="1",BH150,0)</f>
        <v>0</v>
      </c>
      <c r="AC150" s="28">
        <f>IF(AQ150="1",BI150,0)</f>
        <v>0</v>
      </c>
      <c r="AD150" s="28">
        <f>IF(AQ150="7",BH150,0)</f>
        <v>0</v>
      </c>
      <c r="AE150" s="28">
        <f>IF(AQ150="7",BI150,0)</f>
        <v>0</v>
      </c>
      <c r="AF150" s="28">
        <f>IF(AQ150="2",BH150,0)</f>
        <v>0</v>
      </c>
      <c r="AG150" s="28">
        <f>IF(AQ150="2",BI150,0)</f>
        <v>0</v>
      </c>
      <c r="AH150" s="28">
        <f>IF(AQ150="0",BJ150,0)</f>
        <v>0</v>
      </c>
      <c r="AI150" s="23" t="s">
        <v>515</v>
      </c>
      <c r="AJ150" s="14">
        <f>IF(AN150=0,K150,0)</f>
        <v>0</v>
      </c>
      <c r="AK150" s="14">
        <f>IF(AN150=15,K150,0)</f>
        <v>0</v>
      </c>
      <c r="AL150" s="14">
        <f>IF(AN150=21,K150,0)</f>
        <v>0</v>
      </c>
      <c r="AN150" s="28">
        <v>21</v>
      </c>
      <c r="AO150" s="28">
        <f>H150*0.05053648005761</f>
        <v>0</v>
      </c>
      <c r="AP150" s="28">
        <f>H150*(1-0.05053648005761)</f>
        <v>0</v>
      </c>
      <c r="AQ150" s="24" t="s">
        <v>13</v>
      </c>
      <c r="AV150" s="28">
        <f>AW150+AX150</f>
        <v>0</v>
      </c>
      <c r="AW150" s="28">
        <f>G150*AO150</f>
        <v>0</v>
      </c>
      <c r="AX150" s="28">
        <f>G150*AP150</f>
        <v>0</v>
      </c>
      <c r="AY150" s="29" t="s">
        <v>532</v>
      </c>
      <c r="AZ150" s="29" t="s">
        <v>543</v>
      </c>
      <c r="BA150" s="23" t="s">
        <v>546</v>
      </c>
      <c r="BC150" s="28">
        <f>AW150+AX150</f>
        <v>0</v>
      </c>
      <c r="BD150" s="28">
        <f>H150/(100-BE150)*100</f>
        <v>0</v>
      </c>
      <c r="BE150" s="28">
        <v>0</v>
      </c>
      <c r="BF150" s="28">
        <f>150</f>
        <v>150</v>
      </c>
      <c r="BH150" s="14">
        <f>G150*AO150</f>
        <v>0</v>
      </c>
      <c r="BI150" s="14">
        <f>G150*AP150</f>
        <v>0</v>
      </c>
      <c r="BJ150" s="14">
        <f>G150*H150</f>
        <v>0</v>
      </c>
    </row>
    <row r="151" spans="1:62" x14ac:dyDescent="0.2">
      <c r="A151" s="3"/>
      <c r="B151" s="10" t="s">
        <v>271</v>
      </c>
      <c r="C151" s="120" t="s">
        <v>442</v>
      </c>
      <c r="D151" s="121"/>
      <c r="E151" s="121"/>
      <c r="F151" s="3" t="s">
        <v>6</v>
      </c>
      <c r="G151" s="3" t="s">
        <v>6</v>
      </c>
      <c r="H151" s="3" t="s">
        <v>6</v>
      </c>
      <c r="I151" s="30">
        <f>SUM(I152:I161)</f>
        <v>0</v>
      </c>
      <c r="J151" s="30">
        <f>SUM(J152:J161)</f>
        <v>0</v>
      </c>
      <c r="K151" s="30">
        <f>SUM(K152:K161)</f>
        <v>0</v>
      </c>
      <c r="L151" s="23"/>
      <c r="AI151" s="23" t="s">
        <v>515</v>
      </c>
      <c r="AS151" s="30">
        <f>SUM(AJ152:AJ161)</f>
        <v>0</v>
      </c>
      <c r="AT151" s="30">
        <f>SUM(AK152:AK161)</f>
        <v>0</v>
      </c>
      <c r="AU151" s="30">
        <f>SUM(AL152:AL161)</f>
        <v>0</v>
      </c>
    </row>
    <row r="152" spans="1:62" x14ac:dyDescent="0.2">
      <c r="A152" s="4" t="s">
        <v>123</v>
      </c>
      <c r="B152" s="4" t="s">
        <v>272</v>
      </c>
      <c r="C152" s="113" t="s">
        <v>443</v>
      </c>
      <c r="D152" s="114"/>
      <c r="E152" s="114"/>
      <c r="F152" s="4" t="s">
        <v>486</v>
      </c>
      <c r="G152" s="59">
        <v>357.46899999999999</v>
      </c>
      <c r="H152" s="14">
        <v>0</v>
      </c>
      <c r="I152" s="14">
        <f t="shared" ref="I152:I161" si="120">G152*AO152</f>
        <v>0</v>
      </c>
      <c r="J152" s="14">
        <f t="shared" ref="J152:J161" si="121">G152*AP152</f>
        <v>0</v>
      </c>
      <c r="K152" s="14">
        <f t="shared" ref="K152:K161" si="122">G152*H152</f>
        <v>0</v>
      </c>
      <c r="L152" s="24" t="s">
        <v>505</v>
      </c>
      <c r="Z152" s="28">
        <f t="shared" ref="Z152:Z161" si="123">IF(AQ152="5",BJ152,0)</f>
        <v>0</v>
      </c>
      <c r="AB152" s="28">
        <f t="shared" ref="AB152:AB161" si="124">IF(AQ152="1",BH152,0)</f>
        <v>0</v>
      </c>
      <c r="AC152" s="28">
        <f t="shared" ref="AC152:AC161" si="125">IF(AQ152="1",BI152,0)</f>
        <v>0</v>
      </c>
      <c r="AD152" s="28">
        <f t="shared" ref="AD152:AD161" si="126">IF(AQ152="7",BH152,0)</f>
        <v>0</v>
      </c>
      <c r="AE152" s="28">
        <f t="shared" ref="AE152:AE161" si="127">IF(AQ152="7",BI152,0)</f>
        <v>0</v>
      </c>
      <c r="AF152" s="28">
        <f t="shared" ref="AF152:AF161" si="128">IF(AQ152="2",BH152,0)</f>
        <v>0</v>
      </c>
      <c r="AG152" s="28">
        <f t="shared" ref="AG152:AG161" si="129">IF(AQ152="2",BI152,0)</f>
        <v>0</v>
      </c>
      <c r="AH152" s="28">
        <f t="shared" ref="AH152:AH161" si="130">IF(AQ152="0",BJ152,0)</f>
        <v>0</v>
      </c>
      <c r="AI152" s="23" t="s">
        <v>515</v>
      </c>
      <c r="AJ152" s="14">
        <f t="shared" ref="AJ152:AJ161" si="131">IF(AN152=0,K152,0)</f>
        <v>0</v>
      </c>
      <c r="AK152" s="14">
        <f t="shared" ref="AK152:AK161" si="132">IF(AN152=15,K152,0)</f>
        <v>0</v>
      </c>
      <c r="AL152" s="14">
        <f t="shared" ref="AL152:AL161" si="133">IF(AN152=21,K152,0)</f>
        <v>0</v>
      </c>
      <c r="AN152" s="28">
        <v>21</v>
      </c>
      <c r="AO152" s="28">
        <f t="shared" ref="AO152:AO161" si="134">H152*0</f>
        <v>0</v>
      </c>
      <c r="AP152" s="28">
        <f t="shared" ref="AP152:AP161" si="135">H152*(1-0)</f>
        <v>0</v>
      </c>
      <c r="AQ152" s="24" t="s">
        <v>13</v>
      </c>
      <c r="AV152" s="28">
        <f t="shared" ref="AV152:AV161" si="136">AW152+AX152</f>
        <v>0</v>
      </c>
      <c r="AW152" s="28">
        <f t="shared" ref="AW152:AW161" si="137">G152*AO152</f>
        <v>0</v>
      </c>
      <c r="AX152" s="28">
        <f t="shared" ref="AX152:AX161" si="138">G152*AP152</f>
        <v>0</v>
      </c>
      <c r="AY152" s="29" t="s">
        <v>533</v>
      </c>
      <c r="AZ152" s="29" t="s">
        <v>543</v>
      </c>
      <c r="BA152" s="23" t="s">
        <v>546</v>
      </c>
      <c r="BC152" s="28">
        <f t="shared" ref="BC152:BC161" si="139">AW152+AX152</f>
        <v>0</v>
      </c>
      <c r="BD152" s="28">
        <f t="shared" ref="BD152:BD161" si="140">H152/(100-BE152)*100</f>
        <v>0</v>
      </c>
      <c r="BE152" s="28">
        <v>0</v>
      </c>
      <c r="BF152" s="28">
        <f>152</f>
        <v>152</v>
      </c>
      <c r="BH152" s="14">
        <f t="shared" ref="BH152:BH161" si="141">G152*AO152</f>
        <v>0</v>
      </c>
      <c r="BI152" s="14">
        <f t="shared" ref="BI152:BI161" si="142">G152*AP152</f>
        <v>0</v>
      </c>
      <c r="BJ152" s="14">
        <f t="shared" ref="BJ152:BJ161" si="143">G152*H152</f>
        <v>0</v>
      </c>
    </row>
    <row r="153" spans="1:62" x14ac:dyDescent="0.2">
      <c r="A153" s="4" t="s">
        <v>124</v>
      </c>
      <c r="B153" s="4" t="s">
        <v>273</v>
      </c>
      <c r="C153" s="113" t="s">
        <v>444</v>
      </c>
      <c r="D153" s="114"/>
      <c r="E153" s="114"/>
      <c r="F153" s="4" t="s">
        <v>485</v>
      </c>
      <c r="G153" s="59">
        <v>27.24</v>
      </c>
      <c r="H153" s="14">
        <v>0</v>
      </c>
      <c r="I153" s="14">
        <f t="shared" si="120"/>
        <v>0</v>
      </c>
      <c r="J153" s="14">
        <f t="shared" si="121"/>
        <v>0</v>
      </c>
      <c r="K153" s="14">
        <f t="shared" si="122"/>
        <v>0</v>
      </c>
      <c r="L153" s="24" t="s">
        <v>505</v>
      </c>
      <c r="Z153" s="28">
        <f t="shared" si="123"/>
        <v>0</v>
      </c>
      <c r="AB153" s="28">
        <f t="shared" si="124"/>
        <v>0</v>
      </c>
      <c r="AC153" s="28">
        <f t="shared" si="125"/>
        <v>0</v>
      </c>
      <c r="AD153" s="28">
        <f t="shared" si="126"/>
        <v>0</v>
      </c>
      <c r="AE153" s="28">
        <f t="shared" si="127"/>
        <v>0</v>
      </c>
      <c r="AF153" s="28">
        <f t="shared" si="128"/>
        <v>0</v>
      </c>
      <c r="AG153" s="28">
        <f t="shared" si="129"/>
        <v>0</v>
      </c>
      <c r="AH153" s="28">
        <f t="shared" si="130"/>
        <v>0</v>
      </c>
      <c r="AI153" s="23" t="s">
        <v>515</v>
      </c>
      <c r="AJ153" s="14">
        <f t="shared" si="131"/>
        <v>0</v>
      </c>
      <c r="AK153" s="14">
        <f t="shared" si="132"/>
        <v>0</v>
      </c>
      <c r="AL153" s="14">
        <f t="shared" si="133"/>
        <v>0</v>
      </c>
      <c r="AN153" s="28">
        <v>21</v>
      </c>
      <c r="AO153" s="28">
        <f t="shared" si="134"/>
        <v>0</v>
      </c>
      <c r="AP153" s="28">
        <f t="shared" si="135"/>
        <v>0</v>
      </c>
      <c r="AQ153" s="24" t="s">
        <v>13</v>
      </c>
      <c r="AV153" s="28">
        <f t="shared" si="136"/>
        <v>0</v>
      </c>
      <c r="AW153" s="28">
        <f t="shared" si="137"/>
        <v>0</v>
      </c>
      <c r="AX153" s="28">
        <f t="shared" si="138"/>
        <v>0</v>
      </c>
      <c r="AY153" s="29" t="s">
        <v>533</v>
      </c>
      <c r="AZ153" s="29" t="s">
        <v>543</v>
      </c>
      <c r="BA153" s="23" t="s">
        <v>546</v>
      </c>
      <c r="BC153" s="28">
        <f t="shared" si="139"/>
        <v>0</v>
      </c>
      <c r="BD153" s="28">
        <f t="shared" si="140"/>
        <v>0</v>
      </c>
      <c r="BE153" s="28">
        <v>0</v>
      </c>
      <c r="BF153" s="28">
        <f>153</f>
        <v>153</v>
      </c>
      <c r="BH153" s="14">
        <f t="shared" si="141"/>
        <v>0</v>
      </c>
      <c r="BI153" s="14">
        <f t="shared" si="142"/>
        <v>0</v>
      </c>
      <c r="BJ153" s="14">
        <f t="shared" si="143"/>
        <v>0</v>
      </c>
    </row>
    <row r="154" spans="1:62" x14ac:dyDescent="0.2">
      <c r="A154" s="4" t="s">
        <v>125</v>
      </c>
      <c r="B154" s="4" t="s">
        <v>274</v>
      </c>
      <c r="C154" s="113" t="s">
        <v>445</v>
      </c>
      <c r="D154" s="114"/>
      <c r="E154" s="114"/>
      <c r="F154" s="4" t="s">
        <v>485</v>
      </c>
      <c r="G154" s="59">
        <v>2.1</v>
      </c>
      <c r="H154" s="14">
        <v>0</v>
      </c>
      <c r="I154" s="14">
        <f t="shared" si="120"/>
        <v>0</v>
      </c>
      <c r="J154" s="14">
        <f t="shared" si="121"/>
        <v>0</v>
      </c>
      <c r="K154" s="14">
        <f t="shared" si="122"/>
        <v>0</v>
      </c>
      <c r="L154" s="24" t="s">
        <v>505</v>
      </c>
      <c r="Z154" s="28">
        <f t="shared" si="123"/>
        <v>0</v>
      </c>
      <c r="AB154" s="28">
        <f t="shared" si="124"/>
        <v>0</v>
      </c>
      <c r="AC154" s="28">
        <f t="shared" si="125"/>
        <v>0</v>
      </c>
      <c r="AD154" s="28">
        <f t="shared" si="126"/>
        <v>0</v>
      </c>
      <c r="AE154" s="28">
        <f t="shared" si="127"/>
        <v>0</v>
      </c>
      <c r="AF154" s="28">
        <f t="shared" si="128"/>
        <v>0</v>
      </c>
      <c r="AG154" s="28">
        <f t="shared" si="129"/>
        <v>0</v>
      </c>
      <c r="AH154" s="28">
        <f t="shared" si="130"/>
        <v>0</v>
      </c>
      <c r="AI154" s="23" t="s">
        <v>515</v>
      </c>
      <c r="AJ154" s="14">
        <f t="shared" si="131"/>
        <v>0</v>
      </c>
      <c r="AK154" s="14">
        <f t="shared" si="132"/>
        <v>0</v>
      </c>
      <c r="AL154" s="14">
        <f t="shared" si="133"/>
        <v>0</v>
      </c>
      <c r="AN154" s="28">
        <v>21</v>
      </c>
      <c r="AO154" s="28">
        <f t="shared" si="134"/>
        <v>0</v>
      </c>
      <c r="AP154" s="28">
        <f t="shared" si="135"/>
        <v>0</v>
      </c>
      <c r="AQ154" s="24" t="s">
        <v>13</v>
      </c>
      <c r="AV154" s="28">
        <f t="shared" si="136"/>
        <v>0</v>
      </c>
      <c r="AW154" s="28">
        <f t="shared" si="137"/>
        <v>0</v>
      </c>
      <c r="AX154" s="28">
        <f t="shared" si="138"/>
        <v>0</v>
      </c>
      <c r="AY154" s="29" t="s">
        <v>533</v>
      </c>
      <c r="AZ154" s="29" t="s">
        <v>543</v>
      </c>
      <c r="BA154" s="23" t="s">
        <v>546</v>
      </c>
      <c r="BC154" s="28">
        <f t="shared" si="139"/>
        <v>0</v>
      </c>
      <c r="BD154" s="28">
        <f t="shared" si="140"/>
        <v>0</v>
      </c>
      <c r="BE154" s="28">
        <v>0</v>
      </c>
      <c r="BF154" s="28">
        <f>154</f>
        <v>154</v>
      </c>
      <c r="BH154" s="14">
        <f t="shared" si="141"/>
        <v>0</v>
      </c>
      <c r="BI154" s="14">
        <f t="shared" si="142"/>
        <v>0</v>
      </c>
      <c r="BJ154" s="14">
        <f t="shared" si="143"/>
        <v>0</v>
      </c>
    </row>
    <row r="155" spans="1:62" x14ac:dyDescent="0.2">
      <c r="A155" s="4" t="s">
        <v>126</v>
      </c>
      <c r="B155" s="4" t="s">
        <v>275</v>
      </c>
      <c r="C155" s="113" t="s">
        <v>446</v>
      </c>
      <c r="D155" s="114"/>
      <c r="E155" s="114"/>
      <c r="F155" s="4" t="s">
        <v>485</v>
      </c>
      <c r="G155" s="59">
        <v>27.04</v>
      </c>
      <c r="H155" s="14">
        <v>0</v>
      </c>
      <c r="I155" s="14">
        <f t="shared" si="120"/>
        <v>0</v>
      </c>
      <c r="J155" s="14">
        <f t="shared" si="121"/>
        <v>0</v>
      </c>
      <c r="K155" s="14">
        <f t="shared" si="122"/>
        <v>0</v>
      </c>
      <c r="L155" s="24" t="s">
        <v>505</v>
      </c>
      <c r="Z155" s="28">
        <f t="shared" si="123"/>
        <v>0</v>
      </c>
      <c r="AB155" s="28">
        <f t="shared" si="124"/>
        <v>0</v>
      </c>
      <c r="AC155" s="28">
        <f t="shared" si="125"/>
        <v>0</v>
      </c>
      <c r="AD155" s="28">
        <f t="shared" si="126"/>
        <v>0</v>
      </c>
      <c r="AE155" s="28">
        <f t="shared" si="127"/>
        <v>0</v>
      </c>
      <c r="AF155" s="28">
        <f t="shared" si="128"/>
        <v>0</v>
      </c>
      <c r="AG155" s="28">
        <f t="shared" si="129"/>
        <v>0</v>
      </c>
      <c r="AH155" s="28">
        <f t="shared" si="130"/>
        <v>0</v>
      </c>
      <c r="AI155" s="23" t="s">
        <v>515</v>
      </c>
      <c r="AJ155" s="14">
        <f t="shared" si="131"/>
        <v>0</v>
      </c>
      <c r="AK155" s="14">
        <f t="shared" si="132"/>
        <v>0</v>
      </c>
      <c r="AL155" s="14">
        <f t="shared" si="133"/>
        <v>0</v>
      </c>
      <c r="AN155" s="28">
        <v>21</v>
      </c>
      <c r="AO155" s="28">
        <f t="shared" si="134"/>
        <v>0</v>
      </c>
      <c r="AP155" s="28">
        <f t="shared" si="135"/>
        <v>0</v>
      </c>
      <c r="AQ155" s="24" t="s">
        <v>13</v>
      </c>
      <c r="AV155" s="28">
        <f t="shared" si="136"/>
        <v>0</v>
      </c>
      <c r="AW155" s="28">
        <f t="shared" si="137"/>
        <v>0</v>
      </c>
      <c r="AX155" s="28">
        <f t="shared" si="138"/>
        <v>0</v>
      </c>
      <c r="AY155" s="29" t="s">
        <v>533</v>
      </c>
      <c r="AZ155" s="29" t="s">
        <v>543</v>
      </c>
      <c r="BA155" s="23" t="s">
        <v>546</v>
      </c>
      <c r="BC155" s="28">
        <f t="shared" si="139"/>
        <v>0</v>
      </c>
      <c r="BD155" s="28">
        <f t="shared" si="140"/>
        <v>0</v>
      </c>
      <c r="BE155" s="28">
        <v>0</v>
      </c>
      <c r="BF155" s="28">
        <f>155</f>
        <v>155</v>
      </c>
      <c r="BH155" s="14">
        <f t="shared" si="141"/>
        <v>0</v>
      </c>
      <c r="BI155" s="14">
        <f t="shared" si="142"/>
        <v>0</v>
      </c>
      <c r="BJ155" s="14">
        <f t="shared" si="143"/>
        <v>0</v>
      </c>
    </row>
    <row r="156" spans="1:62" x14ac:dyDescent="0.2">
      <c r="A156" s="4" t="s">
        <v>127</v>
      </c>
      <c r="B156" s="4" t="s">
        <v>276</v>
      </c>
      <c r="C156" s="113" t="s">
        <v>447</v>
      </c>
      <c r="D156" s="114"/>
      <c r="E156" s="114"/>
      <c r="F156" s="4" t="s">
        <v>485</v>
      </c>
      <c r="G156" s="59">
        <v>52.88</v>
      </c>
      <c r="H156" s="14">
        <v>0</v>
      </c>
      <c r="I156" s="14">
        <f t="shared" si="120"/>
        <v>0</v>
      </c>
      <c r="J156" s="14">
        <f t="shared" si="121"/>
        <v>0</v>
      </c>
      <c r="K156" s="14">
        <f t="shared" si="122"/>
        <v>0</v>
      </c>
      <c r="L156" s="24" t="s">
        <v>505</v>
      </c>
      <c r="Z156" s="28">
        <f t="shared" si="123"/>
        <v>0</v>
      </c>
      <c r="AB156" s="28">
        <f t="shared" si="124"/>
        <v>0</v>
      </c>
      <c r="AC156" s="28">
        <f t="shared" si="125"/>
        <v>0</v>
      </c>
      <c r="AD156" s="28">
        <f t="shared" si="126"/>
        <v>0</v>
      </c>
      <c r="AE156" s="28">
        <f t="shared" si="127"/>
        <v>0</v>
      </c>
      <c r="AF156" s="28">
        <f t="shared" si="128"/>
        <v>0</v>
      </c>
      <c r="AG156" s="28">
        <f t="shared" si="129"/>
        <v>0</v>
      </c>
      <c r="AH156" s="28">
        <f t="shared" si="130"/>
        <v>0</v>
      </c>
      <c r="AI156" s="23" t="s">
        <v>515</v>
      </c>
      <c r="AJ156" s="14">
        <f t="shared" si="131"/>
        <v>0</v>
      </c>
      <c r="AK156" s="14">
        <f t="shared" si="132"/>
        <v>0</v>
      </c>
      <c r="AL156" s="14">
        <f t="shared" si="133"/>
        <v>0</v>
      </c>
      <c r="AN156" s="28">
        <v>21</v>
      </c>
      <c r="AO156" s="28">
        <f t="shared" si="134"/>
        <v>0</v>
      </c>
      <c r="AP156" s="28">
        <f t="shared" si="135"/>
        <v>0</v>
      </c>
      <c r="AQ156" s="24" t="s">
        <v>13</v>
      </c>
      <c r="AV156" s="28">
        <f t="shared" si="136"/>
        <v>0</v>
      </c>
      <c r="AW156" s="28">
        <f t="shared" si="137"/>
        <v>0</v>
      </c>
      <c r="AX156" s="28">
        <f t="shared" si="138"/>
        <v>0</v>
      </c>
      <c r="AY156" s="29" t="s">
        <v>533</v>
      </c>
      <c r="AZ156" s="29" t="s">
        <v>543</v>
      </c>
      <c r="BA156" s="23" t="s">
        <v>546</v>
      </c>
      <c r="BC156" s="28">
        <f t="shared" si="139"/>
        <v>0</v>
      </c>
      <c r="BD156" s="28">
        <f t="shared" si="140"/>
        <v>0</v>
      </c>
      <c r="BE156" s="28">
        <v>0</v>
      </c>
      <c r="BF156" s="28">
        <f>156</f>
        <v>156</v>
      </c>
      <c r="BH156" s="14">
        <f t="shared" si="141"/>
        <v>0</v>
      </c>
      <c r="BI156" s="14">
        <f t="shared" si="142"/>
        <v>0</v>
      </c>
      <c r="BJ156" s="14">
        <f t="shared" si="143"/>
        <v>0</v>
      </c>
    </row>
    <row r="157" spans="1:62" x14ac:dyDescent="0.2">
      <c r="A157" s="4" t="s">
        <v>128</v>
      </c>
      <c r="B157" s="4" t="s">
        <v>277</v>
      </c>
      <c r="C157" s="113" t="s">
        <v>448</v>
      </c>
      <c r="D157" s="114"/>
      <c r="E157" s="114"/>
      <c r="F157" s="4" t="s">
        <v>484</v>
      </c>
      <c r="G157" s="59">
        <v>4</v>
      </c>
      <c r="H157" s="14">
        <v>0</v>
      </c>
      <c r="I157" s="14">
        <f t="shared" si="120"/>
        <v>0</v>
      </c>
      <c r="J157" s="14">
        <f t="shared" si="121"/>
        <v>0</v>
      </c>
      <c r="K157" s="14">
        <f t="shared" si="122"/>
        <v>0</v>
      </c>
      <c r="L157" s="24" t="s">
        <v>505</v>
      </c>
      <c r="Z157" s="28">
        <f t="shared" si="123"/>
        <v>0</v>
      </c>
      <c r="AB157" s="28">
        <f t="shared" si="124"/>
        <v>0</v>
      </c>
      <c r="AC157" s="28">
        <f t="shared" si="125"/>
        <v>0</v>
      </c>
      <c r="AD157" s="28">
        <f t="shared" si="126"/>
        <v>0</v>
      </c>
      <c r="AE157" s="28">
        <f t="shared" si="127"/>
        <v>0</v>
      </c>
      <c r="AF157" s="28">
        <f t="shared" si="128"/>
        <v>0</v>
      </c>
      <c r="AG157" s="28">
        <f t="shared" si="129"/>
        <v>0</v>
      </c>
      <c r="AH157" s="28">
        <f t="shared" si="130"/>
        <v>0</v>
      </c>
      <c r="AI157" s="23" t="s">
        <v>515</v>
      </c>
      <c r="AJ157" s="14">
        <f t="shared" si="131"/>
        <v>0</v>
      </c>
      <c r="AK157" s="14">
        <f t="shared" si="132"/>
        <v>0</v>
      </c>
      <c r="AL157" s="14">
        <f t="shared" si="133"/>
        <v>0</v>
      </c>
      <c r="AN157" s="28">
        <v>21</v>
      </c>
      <c r="AO157" s="28">
        <f t="shared" si="134"/>
        <v>0</v>
      </c>
      <c r="AP157" s="28">
        <f t="shared" si="135"/>
        <v>0</v>
      </c>
      <c r="AQ157" s="24" t="s">
        <v>13</v>
      </c>
      <c r="AV157" s="28">
        <f t="shared" si="136"/>
        <v>0</v>
      </c>
      <c r="AW157" s="28">
        <f t="shared" si="137"/>
        <v>0</v>
      </c>
      <c r="AX157" s="28">
        <f t="shared" si="138"/>
        <v>0</v>
      </c>
      <c r="AY157" s="29" t="s">
        <v>533</v>
      </c>
      <c r="AZ157" s="29" t="s">
        <v>543</v>
      </c>
      <c r="BA157" s="23" t="s">
        <v>546</v>
      </c>
      <c r="BC157" s="28">
        <f t="shared" si="139"/>
        <v>0</v>
      </c>
      <c r="BD157" s="28">
        <f t="shared" si="140"/>
        <v>0</v>
      </c>
      <c r="BE157" s="28">
        <v>0</v>
      </c>
      <c r="BF157" s="28">
        <f>157</f>
        <v>157</v>
      </c>
      <c r="BH157" s="14">
        <f t="shared" si="141"/>
        <v>0</v>
      </c>
      <c r="BI157" s="14">
        <f t="shared" si="142"/>
        <v>0</v>
      </c>
      <c r="BJ157" s="14">
        <f t="shared" si="143"/>
        <v>0</v>
      </c>
    </row>
    <row r="158" spans="1:62" x14ac:dyDescent="0.2">
      <c r="A158" s="4" t="s">
        <v>129</v>
      </c>
      <c r="B158" s="4" t="s">
        <v>278</v>
      </c>
      <c r="C158" s="113" t="s">
        <v>449</v>
      </c>
      <c r="D158" s="114"/>
      <c r="E158" s="114"/>
      <c r="F158" s="4" t="s">
        <v>485</v>
      </c>
      <c r="G158" s="59">
        <v>25.2</v>
      </c>
      <c r="H158" s="14">
        <v>0</v>
      </c>
      <c r="I158" s="14">
        <f t="shared" si="120"/>
        <v>0</v>
      </c>
      <c r="J158" s="14">
        <f t="shared" si="121"/>
        <v>0</v>
      </c>
      <c r="K158" s="14">
        <f t="shared" si="122"/>
        <v>0</v>
      </c>
      <c r="L158" s="24" t="s">
        <v>505</v>
      </c>
      <c r="Z158" s="28">
        <f t="shared" si="123"/>
        <v>0</v>
      </c>
      <c r="AB158" s="28">
        <f t="shared" si="124"/>
        <v>0</v>
      </c>
      <c r="AC158" s="28">
        <f t="shared" si="125"/>
        <v>0</v>
      </c>
      <c r="AD158" s="28">
        <f t="shared" si="126"/>
        <v>0</v>
      </c>
      <c r="AE158" s="28">
        <f t="shared" si="127"/>
        <v>0</v>
      </c>
      <c r="AF158" s="28">
        <f t="shared" si="128"/>
        <v>0</v>
      </c>
      <c r="AG158" s="28">
        <f t="shared" si="129"/>
        <v>0</v>
      </c>
      <c r="AH158" s="28">
        <f t="shared" si="130"/>
        <v>0</v>
      </c>
      <c r="AI158" s="23" t="s">
        <v>515</v>
      </c>
      <c r="AJ158" s="14">
        <f t="shared" si="131"/>
        <v>0</v>
      </c>
      <c r="AK158" s="14">
        <f t="shared" si="132"/>
        <v>0</v>
      </c>
      <c r="AL158" s="14">
        <f t="shared" si="133"/>
        <v>0</v>
      </c>
      <c r="AN158" s="28">
        <v>21</v>
      </c>
      <c r="AO158" s="28">
        <f t="shared" si="134"/>
        <v>0</v>
      </c>
      <c r="AP158" s="28">
        <f t="shared" si="135"/>
        <v>0</v>
      </c>
      <c r="AQ158" s="24" t="s">
        <v>13</v>
      </c>
      <c r="AV158" s="28">
        <f t="shared" si="136"/>
        <v>0</v>
      </c>
      <c r="AW158" s="28">
        <f t="shared" si="137"/>
        <v>0</v>
      </c>
      <c r="AX158" s="28">
        <f t="shared" si="138"/>
        <v>0</v>
      </c>
      <c r="AY158" s="29" t="s">
        <v>533</v>
      </c>
      <c r="AZ158" s="29" t="s">
        <v>543</v>
      </c>
      <c r="BA158" s="23" t="s">
        <v>546</v>
      </c>
      <c r="BC158" s="28">
        <f t="shared" si="139"/>
        <v>0</v>
      </c>
      <c r="BD158" s="28">
        <f t="shared" si="140"/>
        <v>0</v>
      </c>
      <c r="BE158" s="28">
        <v>0</v>
      </c>
      <c r="BF158" s="28">
        <f>158</f>
        <v>158</v>
      </c>
      <c r="BH158" s="14">
        <f t="shared" si="141"/>
        <v>0</v>
      </c>
      <c r="BI158" s="14">
        <f t="shared" si="142"/>
        <v>0</v>
      </c>
      <c r="BJ158" s="14">
        <f t="shared" si="143"/>
        <v>0</v>
      </c>
    </row>
    <row r="159" spans="1:62" x14ac:dyDescent="0.2">
      <c r="A159" s="4" t="s">
        <v>130</v>
      </c>
      <c r="B159" s="4" t="s">
        <v>279</v>
      </c>
      <c r="C159" s="113" t="s">
        <v>450</v>
      </c>
      <c r="D159" s="114"/>
      <c r="E159" s="114"/>
      <c r="F159" s="4" t="s">
        <v>484</v>
      </c>
      <c r="G159" s="59">
        <v>4</v>
      </c>
      <c r="H159" s="14">
        <v>0</v>
      </c>
      <c r="I159" s="14">
        <f t="shared" si="120"/>
        <v>0</v>
      </c>
      <c r="J159" s="14">
        <f t="shared" si="121"/>
        <v>0</v>
      </c>
      <c r="K159" s="14">
        <f t="shared" si="122"/>
        <v>0</v>
      </c>
      <c r="L159" s="24" t="s">
        <v>505</v>
      </c>
      <c r="Z159" s="28">
        <f t="shared" si="123"/>
        <v>0</v>
      </c>
      <c r="AB159" s="28">
        <f t="shared" si="124"/>
        <v>0</v>
      </c>
      <c r="AC159" s="28">
        <f t="shared" si="125"/>
        <v>0</v>
      </c>
      <c r="AD159" s="28">
        <f t="shared" si="126"/>
        <v>0</v>
      </c>
      <c r="AE159" s="28">
        <f t="shared" si="127"/>
        <v>0</v>
      </c>
      <c r="AF159" s="28">
        <f t="shared" si="128"/>
        <v>0</v>
      </c>
      <c r="AG159" s="28">
        <f t="shared" si="129"/>
        <v>0</v>
      </c>
      <c r="AH159" s="28">
        <f t="shared" si="130"/>
        <v>0</v>
      </c>
      <c r="AI159" s="23" t="s">
        <v>515</v>
      </c>
      <c r="AJ159" s="14">
        <f t="shared" si="131"/>
        <v>0</v>
      </c>
      <c r="AK159" s="14">
        <f t="shared" si="132"/>
        <v>0</v>
      </c>
      <c r="AL159" s="14">
        <f t="shared" si="133"/>
        <v>0</v>
      </c>
      <c r="AN159" s="28">
        <v>21</v>
      </c>
      <c r="AO159" s="28">
        <f t="shared" si="134"/>
        <v>0</v>
      </c>
      <c r="AP159" s="28">
        <f t="shared" si="135"/>
        <v>0</v>
      </c>
      <c r="AQ159" s="24" t="s">
        <v>13</v>
      </c>
      <c r="AV159" s="28">
        <f t="shared" si="136"/>
        <v>0</v>
      </c>
      <c r="AW159" s="28">
        <f t="shared" si="137"/>
        <v>0</v>
      </c>
      <c r="AX159" s="28">
        <f t="shared" si="138"/>
        <v>0</v>
      </c>
      <c r="AY159" s="29" t="s">
        <v>533</v>
      </c>
      <c r="AZ159" s="29" t="s">
        <v>543</v>
      </c>
      <c r="BA159" s="23" t="s">
        <v>546</v>
      </c>
      <c r="BC159" s="28">
        <f t="shared" si="139"/>
        <v>0</v>
      </c>
      <c r="BD159" s="28">
        <f t="shared" si="140"/>
        <v>0</v>
      </c>
      <c r="BE159" s="28">
        <v>0</v>
      </c>
      <c r="BF159" s="28">
        <f>159</f>
        <v>159</v>
      </c>
      <c r="BH159" s="14">
        <f t="shared" si="141"/>
        <v>0</v>
      </c>
      <c r="BI159" s="14">
        <f t="shared" si="142"/>
        <v>0</v>
      </c>
      <c r="BJ159" s="14">
        <f t="shared" si="143"/>
        <v>0</v>
      </c>
    </row>
    <row r="160" spans="1:62" x14ac:dyDescent="0.2">
      <c r="A160" s="4" t="s">
        <v>131</v>
      </c>
      <c r="B160" s="4" t="s">
        <v>280</v>
      </c>
      <c r="C160" s="113" t="s">
        <v>451</v>
      </c>
      <c r="D160" s="114"/>
      <c r="E160" s="114"/>
      <c r="F160" s="4" t="s">
        <v>485</v>
      </c>
      <c r="G160" s="59">
        <v>22.8</v>
      </c>
      <c r="H160" s="14">
        <v>0</v>
      </c>
      <c r="I160" s="14">
        <f t="shared" si="120"/>
        <v>0</v>
      </c>
      <c r="J160" s="14">
        <f t="shared" si="121"/>
        <v>0</v>
      </c>
      <c r="K160" s="14">
        <f t="shared" si="122"/>
        <v>0</v>
      </c>
      <c r="L160" s="24" t="s">
        <v>505</v>
      </c>
      <c r="Z160" s="28">
        <f t="shared" si="123"/>
        <v>0</v>
      </c>
      <c r="AB160" s="28">
        <f t="shared" si="124"/>
        <v>0</v>
      </c>
      <c r="AC160" s="28">
        <f t="shared" si="125"/>
        <v>0</v>
      </c>
      <c r="AD160" s="28">
        <f t="shared" si="126"/>
        <v>0</v>
      </c>
      <c r="AE160" s="28">
        <f t="shared" si="127"/>
        <v>0</v>
      </c>
      <c r="AF160" s="28">
        <f t="shared" si="128"/>
        <v>0</v>
      </c>
      <c r="AG160" s="28">
        <f t="shared" si="129"/>
        <v>0</v>
      </c>
      <c r="AH160" s="28">
        <f t="shared" si="130"/>
        <v>0</v>
      </c>
      <c r="AI160" s="23" t="s">
        <v>515</v>
      </c>
      <c r="AJ160" s="14">
        <f t="shared" si="131"/>
        <v>0</v>
      </c>
      <c r="AK160" s="14">
        <f t="shared" si="132"/>
        <v>0</v>
      </c>
      <c r="AL160" s="14">
        <f t="shared" si="133"/>
        <v>0</v>
      </c>
      <c r="AN160" s="28">
        <v>21</v>
      </c>
      <c r="AO160" s="28">
        <f t="shared" si="134"/>
        <v>0</v>
      </c>
      <c r="AP160" s="28">
        <f t="shared" si="135"/>
        <v>0</v>
      </c>
      <c r="AQ160" s="24" t="s">
        <v>13</v>
      </c>
      <c r="AV160" s="28">
        <f t="shared" si="136"/>
        <v>0</v>
      </c>
      <c r="AW160" s="28">
        <f t="shared" si="137"/>
        <v>0</v>
      </c>
      <c r="AX160" s="28">
        <f t="shared" si="138"/>
        <v>0</v>
      </c>
      <c r="AY160" s="29" t="s">
        <v>533</v>
      </c>
      <c r="AZ160" s="29" t="s">
        <v>543</v>
      </c>
      <c r="BA160" s="23" t="s">
        <v>546</v>
      </c>
      <c r="BC160" s="28">
        <f t="shared" si="139"/>
        <v>0</v>
      </c>
      <c r="BD160" s="28">
        <f t="shared" si="140"/>
        <v>0</v>
      </c>
      <c r="BE160" s="28">
        <v>0</v>
      </c>
      <c r="BF160" s="28">
        <f>160</f>
        <v>160</v>
      </c>
      <c r="BH160" s="14">
        <f t="shared" si="141"/>
        <v>0</v>
      </c>
      <c r="BI160" s="14">
        <f t="shared" si="142"/>
        <v>0</v>
      </c>
      <c r="BJ160" s="14">
        <f t="shared" si="143"/>
        <v>0</v>
      </c>
    </row>
    <row r="161" spans="1:62" x14ac:dyDescent="0.2">
      <c r="A161" s="4" t="s">
        <v>132</v>
      </c>
      <c r="B161" s="4" t="s">
        <v>281</v>
      </c>
      <c r="C161" s="113" t="s">
        <v>452</v>
      </c>
      <c r="D161" s="114"/>
      <c r="E161" s="114"/>
      <c r="F161" s="4" t="s">
        <v>484</v>
      </c>
      <c r="G161" s="59">
        <v>4</v>
      </c>
      <c r="H161" s="14">
        <v>0</v>
      </c>
      <c r="I161" s="14">
        <f t="shared" si="120"/>
        <v>0</v>
      </c>
      <c r="J161" s="14">
        <f t="shared" si="121"/>
        <v>0</v>
      </c>
      <c r="K161" s="14">
        <f t="shared" si="122"/>
        <v>0</v>
      </c>
      <c r="L161" s="24" t="s">
        <v>505</v>
      </c>
      <c r="Z161" s="28">
        <f t="shared" si="123"/>
        <v>0</v>
      </c>
      <c r="AB161" s="28">
        <f t="shared" si="124"/>
        <v>0</v>
      </c>
      <c r="AC161" s="28">
        <f t="shared" si="125"/>
        <v>0</v>
      </c>
      <c r="AD161" s="28">
        <f t="shared" si="126"/>
        <v>0</v>
      </c>
      <c r="AE161" s="28">
        <f t="shared" si="127"/>
        <v>0</v>
      </c>
      <c r="AF161" s="28">
        <f t="shared" si="128"/>
        <v>0</v>
      </c>
      <c r="AG161" s="28">
        <f t="shared" si="129"/>
        <v>0</v>
      </c>
      <c r="AH161" s="28">
        <f t="shared" si="130"/>
        <v>0</v>
      </c>
      <c r="AI161" s="23" t="s">
        <v>515</v>
      </c>
      <c r="AJ161" s="14">
        <f t="shared" si="131"/>
        <v>0</v>
      </c>
      <c r="AK161" s="14">
        <f t="shared" si="132"/>
        <v>0</v>
      </c>
      <c r="AL161" s="14">
        <f t="shared" si="133"/>
        <v>0</v>
      </c>
      <c r="AN161" s="28">
        <v>21</v>
      </c>
      <c r="AO161" s="28">
        <f t="shared" si="134"/>
        <v>0</v>
      </c>
      <c r="AP161" s="28">
        <f t="shared" si="135"/>
        <v>0</v>
      </c>
      <c r="AQ161" s="24" t="s">
        <v>13</v>
      </c>
      <c r="AV161" s="28">
        <f t="shared" si="136"/>
        <v>0</v>
      </c>
      <c r="AW161" s="28">
        <f t="shared" si="137"/>
        <v>0</v>
      </c>
      <c r="AX161" s="28">
        <f t="shared" si="138"/>
        <v>0</v>
      </c>
      <c r="AY161" s="29" t="s">
        <v>533</v>
      </c>
      <c r="AZ161" s="29" t="s">
        <v>543</v>
      </c>
      <c r="BA161" s="23" t="s">
        <v>546</v>
      </c>
      <c r="BC161" s="28">
        <f t="shared" si="139"/>
        <v>0</v>
      </c>
      <c r="BD161" s="28">
        <f t="shared" si="140"/>
        <v>0</v>
      </c>
      <c r="BE161" s="28">
        <v>0</v>
      </c>
      <c r="BF161" s="28">
        <f>161</f>
        <v>161</v>
      </c>
      <c r="BH161" s="14">
        <f t="shared" si="141"/>
        <v>0</v>
      </c>
      <c r="BI161" s="14">
        <f t="shared" si="142"/>
        <v>0</v>
      </c>
      <c r="BJ161" s="14">
        <f t="shared" si="143"/>
        <v>0</v>
      </c>
    </row>
    <row r="162" spans="1:62" x14ac:dyDescent="0.2">
      <c r="A162" s="3"/>
      <c r="B162" s="10" t="s">
        <v>282</v>
      </c>
      <c r="C162" s="120" t="s">
        <v>453</v>
      </c>
      <c r="D162" s="121"/>
      <c r="E162" s="121"/>
      <c r="F162" s="3" t="s">
        <v>6</v>
      </c>
      <c r="G162" s="3" t="s">
        <v>6</v>
      </c>
      <c r="H162" s="3" t="s">
        <v>6</v>
      </c>
      <c r="I162" s="30">
        <f>SUM(I163:I163)</f>
        <v>0</v>
      </c>
      <c r="J162" s="30">
        <f>SUM(J163:J163)</f>
        <v>0</v>
      </c>
      <c r="K162" s="30">
        <f>SUM(K163:K163)</f>
        <v>0</v>
      </c>
      <c r="L162" s="23"/>
      <c r="AI162" s="23" t="s">
        <v>515</v>
      </c>
      <c r="AS162" s="30">
        <f>SUM(AJ163:AJ163)</f>
        <v>0</v>
      </c>
      <c r="AT162" s="30">
        <f>SUM(AK163:AK163)</f>
        <v>0</v>
      </c>
      <c r="AU162" s="30">
        <f>SUM(AL163:AL163)</f>
        <v>0</v>
      </c>
    </row>
    <row r="163" spans="1:62" x14ac:dyDescent="0.2">
      <c r="A163" s="4" t="s">
        <v>133</v>
      </c>
      <c r="B163" s="4" t="s">
        <v>283</v>
      </c>
      <c r="C163" s="113" t="s">
        <v>454</v>
      </c>
      <c r="D163" s="114"/>
      <c r="E163" s="114"/>
      <c r="F163" s="4" t="s">
        <v>486</v>
      </c>
      <c r="G163" s="59">
        <v>317.44</v>
      </c>
      <c r="H163" s="14">
        <v>0</v>
      </c>
      <c r="I163" s="14">
        <f>G163*AO163</f>
        <v>0</v>
      </c>
      <c r="J163" s="14">
        <f>G163*AP163</f>
        <v>0</v>
      </c>
      <c r="K163" s="14">
        <f>G163*H163</f>
        <v>0</v>
      </c>
      <c r="L163" s="24" t="s">
        <v>505</v>
      </c>
      <c r="Z163" s="28">
        <f>IF(AQ163="5",BJ163,0)</f>
        <v>0</v>
      </c>
      <c r="AB163" s="28">
        <f>IF(AQ163="1",BH163,0)</f>
        <v>0</v>
      </c>
      <c r="AC163" s="28">
        <f>IF(AQ163="1",BI163,0)</f>
        <v>0</v>
      </c>
      <c r="AD163" s="28">
        <f>IF(AQ163="7",BH163,0)</f>
        <v>0</v>
      </c>
      <c r="AE163" s="28">
        <f>IF(AQ163="7",BI163,0)</f>
        <v>0</v>
      </c>
      <c r="AF163" s="28">
        <f>IF(AQ163="2",BH163,0)</f>
        <v>0</v>
      </c>
      <c r="AG163" s="28">
        <f>IF(AQ163="2",BI163,0)</f>
        <v>0</v>
      </c>
      <c r="AH163" s="28">
        <f>IF(AQ163="0",BJ163,0)</f>
        <v>0</v>
      </c>
      <c r="AI163" s="23" t="s">
        <v>515</v>
      </c>
      <c r="AJ163" s="14">
        <f>IF(AN163=0,K163,0)</f>
        <v>0</v>
      </c>
      <c r="AK163" s="14">
        <f>IF(AN163=15,K163,0)</f>
        <v>0</v>
      </c>
      <c r="AL163" s="14">
        <f>IF(AN163=21,K163,0)</f>
        <v>0</v>
      </c>
      <c r="AN163" s="28">
        <v>21</v>
      </c>
      <c r="AO163" s="28">
        <f>H163*0</f>
        <v>0</v>
      </c>
      <c r="AP163" s="28">
        <f>H163*(1-0)</f>
        <v>0</v>
      </c>
      <c r="AQ163" s="24" t="s">
        <v>13</v>
      </c>
      <c r="AV163" s="28">
        <f>AW163+AX163</f>
        <v>0</v>
      </c>
      <c r="AW163" s="28">
        <f>G163*AO163</f>
        <v>0</v>
      </c>
      <c r="AX163" s="28">
        <f>G163*AP163</f>
        <v>0</v>
      </c>
      <c r="AY163" s="29" t="s">
        <v>534</v>
      </c>
      <c r="AZ163" s="29" t="s">
        <v>544</v>
      </c>
      <c r="BA163" s="23" t="s">
        <v>546</v>
      </c>
      <c r="BC163" s="28">
        <f>AW163+AX163</f>
        <v>0</v>
      </c>
      <c r="BD163" s="28">
        <f>H163/(100-BE163)*100</f>
        <v>0</v>
      </c>
      <c r="BE163" s="28">
        <v>0</v>
      </c>
      <c r="BF163" s="28">
        <f>163</f>
        <v>163</v>
      </c>
      <c r="BH163" s="14">
        <f>G163*AO163</f>
        <v>0</v>
      </c>
      <c r="BI163" s="14">
        <f>G163*AP163</f>
        <v>0</v>
      </c>
      <c r="BJ163" s="14">
        <f>G163*H163</f>
        <v>0</v>
      </c>
    </row>
    <row r="164" spans="1:62" x14ac:dyDescent="0.2">
      <c r="A164" s="3"/>
      <c r="B164" s="10" t="s">
        <v>284</v>
      </c>
      <c r="C164" s="120" t="s">
        <v>455</v>
      </c>
      <c r="D164" s="121"/>
      <c r="E164" s="121"/>
      <c r="F164" s="3" t="s">
        <v>6</v>
      </c>
      <c r="G164" s="3" t="s">
        <v>6</v>
      </c>
      <c r="H164" s="3" t="s">
        <v>6</v>
      </c>
      <c r="I164" s="30">
        <f>SUM(I165:I173)</f>
        <v>0</v>
      </c>
      <c r="J164" s="30">
        <f>SUM(J165:J173)</f>
        <v>0</v>
      </c>
      <c r="K164" s="30">
        <f>SUM(K165:K173)</f>
        <v>0</v>
      </c>
      <c r="L164" s="23"/>
      <c r="AI164" s="23" t="s">
        <v>515</v>
      </c>
      <c r="AS164" s="30">
        <f>SUM(AJ165:AJ173)</f>
        <v>0</v>
      </c>
      <c r="AT164" s="30">
        <f>SUM(AK165:AK173)</f>
        <v>0</v>
      </c>
      <c r="AU164" s="30">
        <f>SUM(AL165:AL173)</f>
        <v>0</v>
      </c>
    </row>
    <row r="165" spans="1:62" x14ac:dyDescent="0.2">
      <c r="A165" s="4" t="s">
        <v>134</v>
      </c>
      <c r="B165" s="4" t="s">
        <v>285</v>
      </c>
      <c r="C165" s="113" t="s">
        <v>456</v>
      </c>
      <c r="D165" s="114"/>
      <c r="E165" s="114"/>
      <c r="F165" s="4" t="s">
        <v>485</v>
      </c>
      <c r="G165" s="59">
        <v>178.965</v>
      </c>
      <c r="H165" s="14">
        <v>0</v>
      </c>
      <c r="I165" s="14">
        <f t="shared" ref="I165:I173" si="144">G165*AO165</f>
        <v>0</v>
      </c>
      <c r="J165" s="14">
        <f t="shared" ref="J165:J173" si="145">G165*AP165</f>
        <v>0</v>
      </c>
      <c r="K165" s="14">
        <f t="shared" ref="K165:K173" si="146">G165*H165</f>
        <v>0</v>
      </c>
      <c r="L165" s="24" t="s">
        <v>505</v>
      </c>
      <c r="Z165" s="28">
        <f t="shared" ref="Z165:Z173" si="147">IF(AQ165="5",BJ165,0)</f>
        <v>0</v>
      </c>
      <c r="AB165" s="28">
        <f t="shared" ref="AB165:AB173" si="148">IF(AQ165="1",BH165,0)</f>
        <v>0</v>
      </c>
      <c r="AC165" s="28">
        <f t="shared" ref="AC165:AC173" si="149">IF(AQ165="1",BI165,0)</f>
        <v>0</v>
      </c>
      <c r="AD165" s="28">
        <f t="shared" ref="AD165:AD173" si="150">IF(AQ165="7",BH165,0)</f>
        <v>0</v>
      </c>
      <c r="AE165" s="28">
        <f t="shared" ref="AE165:AE173" si="151">IF(AQ165="7",BI165,0)</f>
        <v>0</v>
      </c>
      <c r="AF165" s="28">
        <f t="shared" ref="AF165:AF173" si="152">IF(AQ165="2",BH165,0)</f>
        <v>0</v>
      </c>
      <c r="AG165" s="28">
        <f t="shared" ref="AG165:AG173" si="153">IF(AQ165="2",BI165,0)</f>
        <v>0</v>
      </c>
      <c r="AH165" s="28">
        <f t="shared" ref="AH165:AH173" si="154">IF(AQ165="0",BJ165,0)</f>
        <v>0</v>
      </c>
      <c r="AI165" s="23" t="s">
        <v>515</v>
      </c>
      <c r="AJ165" s="14">
        <f t="shared" ref="AJ165:AJ173" si="155">IF(AN165=0,K165,0)</f>
        <v>0</v>
      </c>
      <c r="AK165" s="14">
        <f t="shared" ref="AK165:AK173" si="156">IF(AN165=15,K165,0)</f>
        <v>0</v>
      </c>
      <c r="AL165" s="14">
        <f t="shared" ref="AL165:AL173" si="157">IF(AN165=21,K165,0)</f>
        <v>0</v>
      </c>
      <c r="AN165" s="28">
        <v>21</v>
      </c>
      <c r="AO165" s="28">
        <f t="shared" ref="AO165:AO173" si="158">H165*0</f>
        <v>0</v>
      </c>
      <c r="AP165" s="28">
        <f t="shared" ref="AP165:AP173" si="159">H165*(1-0)</f>
        <v>0</v>
      </c>
      <c r="AQ165" s="24" t="s">
        <v>13</v>
      </c>
      <c r="AV165" s="28">
        <f t="shared" ref="AV165:AV173" si="160">AW165+AX165</f>
        <v>0</v>
      </c>
      <c r="AW165" s="28">
        <f t="shared" ref="AW165:AW173" si="161">G165*AO165</f>
        <v>0</v>
      </c>
      <c r="AX165" s="28">
        <f t="shared" ref="AX165:AX173" si="162">G165*AP165</f>
        <v>0</v>
      </c>
      <c r="AY165" s="29" t="s">
        <v>535</v>
      </c>
      <c r="AZ165" s="29" t="s">
        <v>544</v>
      </c>
      <c r="BA165" s="23" t="s">
        <v>546</v>
      </c>
      <c r="BC165" s="28">
        <f t="shared" ref="BC165:BC173" si="163">AW165+AX165</f>
        <v>0</v>
      </c>
      <c r="BD165" s="28">
        <f t="shared" ref="BD165:BD173" si="164">H165/(100-BE165)*100</f>
        <v>0</v>
      </c>
      <c r="BE165" s="28">
        <v>0</v>
      </c>
      <c r="BF165" s="28">
        <f>165</f>
        <v>165</v>
      </c>
      <c r="BH165" s="14">
        <f t="shared" ref="BH165:BH173" si="165">G165*AO165</f>
        <v>0</v>
      </c>
      <c r="BI165" s="14">
        <f t="shared" ref="BI165:BI173" si="166">G165*AP165</f>
        <v>0</v>
      </c>
      <c r="BJ165" s="14">
        <f t="shared" ref="BJ165:BJ173" si="167">G165*H165</f>
        <v>0</v>
      </c>
    </row>
    <row r="166" spans="1:62" x14ac:dyDescent="0.2">
      <c r="A166" s="4" t="s">
        <v>135</v>
      </c>
      <c r="B166" s="4" t="s">
        <v>285</v>
      </c>
      <c r="C166" s="113" t="s">
        <v>457</v>
      </c>
      <c r="D166" s="114"/>
      <c r="E166" s="114"/>
      <c r="F166" s="4" t="s">
        <v>485</v>
      </c>
      <c r="G166" s="59">
        <v>194.88499999999999</v>
      </c>
      <c r="H166" s="14">
        <v>0</v>
      </c>
      <c r="I166" s="14">
        <f t="shared" si="144"/>
        <v>0</v>
      </c>
      <c r="J166" s="14">
        <f t="shared" si="145"/>
        <v>0</v>
      </c>
      <c r="K166" s="14">
        <f t="shared" si="146"/>
        <v>0</v>
      </c>
      <c r="L166" s="24" t="s">
        <v>505</v>
      </c>
      <c r="Z166" s="28">
        <f t="shared" si="147"/>
        <v>0</v>
      </c>
      <c r="AB166" s="28">
        <f t="shared" si="148"/>
        <v>0</v>
      </c>
      <c r="AC166" s="28">
        <f t="shared" si="149"/>
        <v>0</v>
      </c>
      <c r="AD166" s="28">
        <f t="shared" si="150"/>
        <v>0</v>
      </c>
      <c r="AE166" s="28">
        <f t="shared" si="151"/>
        <v>0</v>
      </c>
      <c r="AF166" s="28">
        <f t="shared" si="152"/>
        <v>0</v>
      </c>
      <c r="AG166" s="28">
        <f t="shared" si="153"/>
        <v>0</v>
      </c>
      <c r="AH166" s="28">
        <f t="shared" si="154"/>
        <v>0</v>
      </c>
      <c r="AI166" s="23" t="s">
        <v>515</v>
      </c>
      <c r="AJ166" s="14">
        <f t="shared" si="155"/>
        <v>0</v>
      </c>
      <c r="AK166" s="14">
        <f t="shared" si="156"/>
        <v>0</v>
      </c>
      <c r="AL166" s="14">
        <f t="shared" si="157"/>
        <v>0</v>
      </c>
      <c r="AN166" s="28">
        <v>21</v>
      </c>
      <c r="AO166" s="28">
        <f t="shared" si="158"/>
        <v>0</v>
      </c>
      <c r="AP166" s="28">
        <f t="shared" si="159"/>
        <v>0</v>
      </c>
      <c r="AQ166" s="24" t="s">
        <v>13</v>
      </c>
      <c r="AV166" s="28">
        <f t="shared" si="160"/>
        <v>0</v>
      </c>
      <c r="AW166" s="28">
        <f t="shared" si="161"/>
        <v>0</v>
      </c>
      <c r="AX166" s="28">
        <f t="shared" si="162"/>
        <v>0</v>
      </c>
      <c r="AY166" s="29" t="s">
        <v>535</v>
      </c>
      <c r="AZ166" s="29" t="s">
        <v>544</v>
      </c>
      <c r="BA166" s="23" t="s">
        <v>546</v>
      </c>
      <c r="BC166" s="28">
        <f t="shared" si="163"/>
        <v>0</v>
      </c>
      <c r="BD166" s="28">
        <f t="shared" si="164"/>
        <v>0</v>
      </c>
      <c r="BE166" s="28">
        <v>0</v>
      </c>
      <c r="BF166" s="28">
        <f>166</f>
        <v>166</v>
      </c>
      <c r="BH166" s="14">
        <f t="shared" si="165"/>
        <v>0</v>
      </c>
      <c r="BI166" s="14">
        <f t="shared" si="166"/>
        <v>0</v>
      </c>
      <c r="BJ166" s="14">
        <f t="shared" si="167"/>
        <v>0</v>
      </c>
    </row>
    <row r="167" spans="1:62" x14ac:dyDescent="0.2">
      <c r="A167" s="4" t="s">
        <v>136</v>
      </c>
      <c r="B167" s="4" t="s">
        <v>286</v>
      </c>
      <c r="C167" s="113" t="s">
        <v>458</v>
      </c>
      <c r="D167" s="114"/>
      <c r="E167" s="114"/>
      <c r="F167" s="4" t="s">
        <v>486</v>
      </c>
      <c r="G167" s="59">
        <v>72.709999999999994</v>
      </c>
      <c r="H167" s="14">
        <v>0</v>
      </c>
      <c r="I167" s="14">
        <f t="shared" si="144"/>
        <v>0</v>
      </c>
      <c r="J167" s="14">
        <f t="shared" si="145"/>
        <v>0</v>
      </c>
      <c r="K167" s="14">
        <f t="shared" si="146"/>
        <v>0</v>
      </c>
      <c r="L167" s="24" t="s">
        <v>505</v>
      </c>
      <c r="Z167" s="28">
        <f t="shared" si="147"/>
        <v>0</v>
      </c>
      <c r="AB167" s="28">
        <f t="shared" si="148"/>
        <v>0</v>
      </c>
      <c r="AC167" s="28">
        <f t="shared" si="149"/>
        <v>0</v>
      </c>
      <c r="AD167" s="28">
        <f t="shared" si="150"/>
        <v>0</v>
      </c>
      <c r="AE167" s="28">
        <f t="shared" si="151"/>
        <v>0</v>
      </c>
      <c r="AF167" s="28">
        <f t="shared" si="152"/>
        <v>0</v>
      </c>
      <c r="AG167" s="28">
        <f t="shared" si="153"/>
        <v>0</v>
      </c>
      <c r="AH167" s="28">
        <f t="shared" si="154"/>
        <v>0</v>
      </c>
      <c r="AI167" s="23" t="s">
        <v>515</v>
      </c>
      <c r="AJ167" s="14">
        <f t="shared" si="155"/>
        <v>0</v>
      </c>
      <c r="AK167" s="14">
        <f t="shared" si="156"/>
        <v>0</v>
      </c>
      <c r="AL167" s="14">
        <f t="shared" si="157"/>
        <v>0</v>
      </c>
      <c r="AN167" s="28">
        <v>21</v>
      </c>
      <c r="AO167" s="28">
        <f t="shared" si="158"/>
        <v>0</v>
      </c>
      <c r="AP167" s="28">
        <f t="shared" si="159"/>
        <v>0</v>
      </c>
      <c r="AQ167" s="24" t="s">
        <v>13</v>
      </c>
      <c r="AV167" s="28">
        <f t="shared" si="160"/>
        <v>0</v>
      </c>
      <c r="AW167" s="28">
        <f t="shared" si="161"/>
        <v>0</v>
      </c>
      <c r="AX167" s="28">
        <f t="shared" si="162"/>
        <v>0</v>
      </c>
      <c r="AY167" s="29" t="s">
        <v>535</v>
      </c>
      <c r="AZ167" s="29" t="s">
        <v>544</v>
      </c>
      <c r="BA167" s="23" t="s">
        <v>546</v>
      </c>
      <c r="BC167" s="28">
        <f t="shared" si="163"/>
        <v>0</v>
      </c>
      <c r="BD167" s="28">
        <f t="shared" si="164"/>
        <v>0</v>
      </c>
      <c r="BE167" s="28">
        <v>0</v>
      </c>
      <c r="BF167" s="28">
        <f>167</f>
        <v>167</v>
      </c>
      <c r="BH167" s="14">
        <f t="shared" si="165"/>
        <v>0</v>
      </c>
      <c r="BI167" s="14">
        <f t="shared" si="166"/>
        <v>0</v>
      </c>
      <c r="BJ167" s="14">
        <f t="shared" si="167"/>
        <v>0</v>
      </c>
    </row>
    <row r="168" spans="1:62" x14ac:dyDescent="0.2">
      <c r="A168" s="4" t="s">
        <v>137</v>
      </c>
      <c r="B168" s="4" t="s">
        <v>287</v>
      </c>
      <c r="C168" s="113" t="s">
        <v>459</v>
      </c>
      <c r="D168" s="114"/>
      <c r="E168" s="114"/>
      <c r="F168" s="4" t="s">
        <v>486</v>
      </c>
      <c r="G168" s="59">
        <v>54.27</v>
      </c>
      <c r="H168" s="14">
        <v>0</v>
      </c>
      <c r="I168" s="14">
        <f t="shared" si="144"/>
        <v>0</v>
      </c>
      <c r="J168" s="14">
        <f t="shared" si="145"/>
        <v>0</v>
      </c>
      <c r="K168" s="14">
        <f t="shared" si="146"/>
        <v>0</v>
      </c>
      <c r="L168" s="24" t="s">
        <v>505</v>
      </c>
      <c r="Z168" s="28">
        <f t="shared" si="147"/>
        <v>0</v>
      </c>
      <c r="AB168" s="28">
        <f t="shared" si="148"/>
        <v>0</v>
      </c>
      <c r="AC168" s="28">
        <f t="shared" si="149"/>
        <v>0</v>
      </c>
      <c r="AD168" s="28">
        <f t="shared" si="150"/>
        <v>0</v>
      </c>
      <c r="AE168" s="28">
        <f t="shared" si="151"/>
        <v>0</v>
      </c>
      <c r="AF168" s="28">
        <f t="shared" si="152"/>
        <v>0</v>
      </c>
      <c r="AG168" s="28">
        <f t="shared" si="153"/>
        <v>0</v>
      </c>
      <c r="AH168" s="28">
        <f t="shared" si="154"/>
        <v>0</v>
      </c>
      <c r="AI168" s="23" t="s">
        <v>515</v>
      </c>
      <c r="AJ168" s="14">
        <f t="shared" si="155"/>
        <v>0</v>
      </c>
      <c r="AK168" s="14">
        <f t="shared" si="156"/>
        <v>0</v>
      </c>
      <c r="AL168" s="14">
        <f t="shared" si="157"/>
        <v>0</v>
      </c>
      <c r="AN168" s="28">
        <v>21</v>
      </c>
      <c r="AO168" s="28">
        <f t="shared" si="158"/>
        <v>0</v>
      </c>
      <c r="AP168" s="28">
        <f t="shared" si="159"/>
        <v>0</v>
      </c>
      <c r="AQ168" s="24" t="s">
        <v>13</v>
      </c>
      <c r="AV168" s="28">
        <f t="shared" si="160"/>
        <v>0</v>
      </c>
      <c r="AW168" s="28">
        <f t="shared" si="161"/>
        <v>0</v>
      </c>
      <c r="AX168" s="28">
        <f t="shared" si="162"/>
        <v>0</v>
      </c>
      <c r="AY168" s="29" t="s">
        <v>535</v>
      </c>
      <c r="AZ168" s="29" t="s">
        <v>544</v>
      </c>
      <c r="BA168" s="23" t="s">
        <v>546</v>
      </c>
      <c r="BC168" s="28">
        <f t="shared" si="163"/>
        <v>0</v>
      </c>
      <c r="BD168" s="28">
        <f t="shared" si="164"/>
        <v>0</v>
      </c>
      <c r="BE168" s="28">
        <v>0</v>
      </c>
      <c r="BF168" s="28">
        <f>168</f>
        <v>168</v>
      </c>
      <c r="BH168" s="14">
        <f t="shared" si="165"/>
        <v>0</v>
      </c>
      <c r="BI168" s="14">
        <f t="shared" si="166"/>
        <v>0</v>
      </c>
      <c r="BJ168" s="14">
        <f t="shared" si="167"/>
        <v>0</v>
      </c>
    </row>
    <row r="169" spans="1:62" x14ac:dyDescent="0.2">
      <c r="A169" s="4" t="s">
        <v>138</v>
      </c>
      <c r="B169" s="4" t="s">
        <v>288</v>
      </c>
      <c r="C169" s="113" t="s">
        <v>460</v>
      </c>
      <c r="D169" s="114"/>
      <c r="E169" s="114"/>
      <c r="F169" s="4" t="s">
        <v>486</v>
      </c>
      <c r="G169" s="59">
        <v>42.99</v>
      </c>
      <c r="H169" s="14">
        <v>0</v>
      </c>
      <c r="I169" s="14">
        <f t="shared" si="144"/>
        <v>0</v>
      </c>
      <c r="J169" s="14">
        <f t="shared" si="145"/>
        <v>0</v>
      </c>
      <c r="K169" s="14">
        <f t="shared" si="146"/>
        <v>0</v>
      </c>
      <c r="L169" s="24" t="s">
        <v>505</v>
      </c>
      <c r="Z169" s="28">
        <f t="shared" si="147"/>
        <v>0</v>
      </c>
      <c r="AB169" s="28">
        <f t="shared" si="148"/>
        <v>0</v>
      </c>
      <c r="AC169" s="28">
        <f t="shared" si="149"/>
        <v>0</v>
      </c>
      <c r="AD169" s="28">
        <f t="shared" si="150"/>
        <v>0</v>
      </c>
      <c r="AE169" s="28">
        <f t="shared" si="151"/>
        <v>0</v>
      </c>
      <c r="AF169" s="28">
        <f t="shared" si="152"/>
        <v>0</v>
      </c>
      <c r="AG169" s="28">
        <f t="shared" si="153"/>
        <v>0</v>
      </c>
      <c r="AH169" s="28">
        <f t="shared" si="154"/>
        <v>0</v>
      </c>
      <c r="AI169" s="23" t="s">
        <v>515</v>
      </c>
      <c r="AJ169" s="14">
        <f t="shared" si="155"/>
        <v>0</v>
      </c>
      <c r="AK169" s="14">
        <f t="shared" si="156"/>
        <v>0</v>
      </c>
      <c r="AL169" s="14">
        <f t="shared" si="157"/>
        <v>0</v>
      </c>
      <c r="AN169" s="28">
        <v>21</v>
      </c>
      <c r="AO169" s="28">
        <f t="shared" si="158"/>
        <v>0</v>
      </c>
      <c r="AP169" s="28">
        <f t="shared" si="159"/>
        <v>0</v>
      </c>
      <c r="AQ169" s="24" t="s">
        <v>13</v>
      </c>
      <c r="AV169" s="28">
        <f t="shared" si="160"/>
        <v>0</v>
      </c>
      <c r="AW169" s="28">
        <f t="shared" si="161"/>
        <v>0</v>
      </c>
      <c r="AX169" s="28">
        <f t="shared" si="162"/>
        <v>0</v>
      </c>
      <c r="AY169" s="29" t="s">
        <v>535</v>
      </c>
      <c r="AZ169" s="29" t="s">
        <v>544</v>
      </c>
      <c r="BA169" s="23" t="s">
        <v>546</v>
      </c>
      <c r="BC169" s="28">
        <f t="shared" si="163"/>
        <v>0</v>
      </c>
      <c r="BD169" s="28">
        <f t="shared" si="164"/>
        <v>0</v>
      </c>
      <c r="BE169" s="28">
        <v>0</v>
      </c>
      <c r="BF169" s="28">
        <f>169</f>
        <v>169</v>
      </c>
      <c r="BH169" s="14">
        <f t="shared" si="165"/>
        <v>0</v>
      </c>
      <c r="BI169" s="14">
        <f t="shared" si="166"/>
        <v>0</v>
      </c>
      <c r="BJ169" s="14">
        <f t="shared" si="167"/>
        <v>0</v>
      </c>
    </row>
    <row r="170" spans="1:62" x14ac:dyDescent="0.2">
      <c r="A170" s="4" t="s">
        <v>139</v>
      </c>
      <c r="B170" s="4" t="s">
        <v>286</v>
      </c>
      <c r="C170" s="113" t="s">
        <v>461</v>
      </c>
      <c r="D170" s="114"/>
      <c r="E170" s="114"/>
      <c r="F170" s="4" t="s">
        <v>486</v>
      </c>
      <c r="G170" s="59">
        <v>53.25</v>
      </c>
      <c r="H170" s="14">
        <v>0</v>
      </c>
      <c r="I170" s="14">
        <f t="shared" si="144"/>
        <v>0</v>
      </c>
      <c r="J170" s="14">
        <f t="shared" si="145"/>
        <v>0</v>
      </c>
      <c r="K170" s="14">
        <f t="shared" si="146"/>
        <v>0</v>
      </c>
      <c r="L170" s="24" t="s">
        <v>505</v>
      </c>
      <c r="Z170" s="28">
        <f t="shared" si="147"/>
        <v>0</v>
      </c>
      <c r="AB170" s="28">
        <f t="shared" si="148"/>
        <v>0</v>
      </c>
      <c r="AC170" s="28">
        <f t="shared" si="149"/>
        <v>0</v>
      </c>
      <c r="AD170" s="28">
        <f t="shared" si="150"/>
        <v>0</v>
      </c>
      <c r="AE170" s="28">
        <f t="shared" si="151"/>
        <v>0</v>
      </c>
      <c r="AF170" s="28">
        <f t="shared" si="152"/>
        <v>0</v>
      </c>
      <c r="AG170" s="28">
        <f t="shared" si="153"/>
        <v>0</v>
      </c>
      <c r="AH170" s="28">
        <f t="shared" si="154"/>
        <v>0</v>
      </c>
      <c r="AI170" s="23" t="s">
        <v>515</v>
      </c>
      <c r="AJ170" s="14">
        <f t="shared" si="155"/>
        <v>0</v>
      </c>
      <c r="AK170" s="14">
        <f t="shared" si="156"/>
        <v>0</v>
      </c>
      <c r="AL170" s="14">
        <f t="shared" si="157"/>
        <v>0</v>
      </c>
      <c r="AN170" s="28">
        <v>21</v>
      </c>
      <c r="AO170" s="28">
        <f t="shared" si="158"/>
        <v>0</v>
      </c>
      <c r="AP170" s="28">
        <f t="shared" si="159"/>
        <v>0</v>
      </c>
      <c r="AQ170" s="24" t="s">
        <v>13</v>
      </c>
      <c r="AV170" s="28">
        <f t="shared" si="160"/>
        <v>0</v>
      </c>
      <c r="AW170" s="28">
        <f t="shared" si="161"/>
        <v>0</v>
      </c>
      <c r="AX170" s="28">
        <f t="shared" si="162"/>
        <v>0</v>
      </c>
      <c r="AY170" s="29" t="s">
        <v>535</v>
      </c>
      <c r="AZ170" s="29" t="s">
        <v>544</v>
      </c>
      <c r="BA170" s="23" t="s">
        <v>546</v>
      </c>
      <c r="BC170" s="28">
        <f t="shared" si="163"/>
        <v>0</v>
      </c>
      <c r="BD170" s="28">
        <f t="shared" si="164"/>
        <v>0</v>
      </c>
      <c r="BE170" s="28">
        <v>0</v>
      </c>
      <c r="BF170" s="28">
        <f>170</f>
        <v>170</v>
      </c>
      <c r="BH170" s="14">
        <f t="shared" si="165"/>
        <v>0</v>
      </c>
      <c r="BI170" s="14">
        <f t="shared" si="166"/>
        <v>0</v>
      </c>
      <c r="BJ170" s="14">
        <f t="shared" si="167"/>
        <v>0</v>
      </c>
    </row>
    <row r="171" spans="1:62" x14ac:dyDescent="0.2">
      <c r="A171" s="4" t="s">
        <v>140</v>
      </c>
      <c r="B171" s="4" t="s">
        <v>287</v>
      </c>
      <c r="C171" s="113" t="s">
        <v>462</v>
      </c>
      <c r="D171" s="114"/>
      <c r="E171" s="114"/>
      <c r="F171" s="4" t="s">
        <v>486</v>
      </c>
      <c r="G171" s="59">
        <v>155.19999999999999</v>
      </c>
      <c r="H171" s="14">
        <v>0</v>
      </c>
      <c r="I171" s="14">
        <f t="shared" si="144"/>
        <v>0</v>
      </c>
      <c r="J171" s="14">
        <f t="shared" si="145"/>
        <v>0</v>
      </c>
      <c r="K171" s="14">
        <f t="shared" si="146"/>
        <v>0</v>
      </c>
      <c r="L171" s="24" t="s">
        <v>505</v>
      </c>
      <c r="Z171" s="28">
        <f t="shared" si="147"/>
        <v>0</v>
      </c>
      <c r="AB171" s="28">
        <f t="shared" si="148"/>
        <v>0</v>
      </c>
      <c r="AC171" s="28">
        <f t="shared" si="149"/>
        <v>0</v>
      </c>
      <c r="AD171" s="28">
        <f t="shared" si="150"/>
        <v>0</v>
      </c>
      <c r="AE171" s="28">
        <f t="shared" si="151"/>
        <v>0</v>
      </c>
      <c r="AF171" s="28">
        <f t="shared" si="152"/>
        <v>0</v>
      </c>
      <c r="AG171" s="28">
        <f t="shared" si="153"/>
        <v>0</v>
      </c>
      <c r="AH171" s="28">
        <f t="shared" si="154"/>
        <v>0</v>
      </c>
      <c r="AI171" s="23" t="s">
        <v>515</v>
      </c>
      <c r="AJ171" s="14">
        <f t="shared" si="155"/>
        <v>0</v>
      </c>
      <c r="AK171" s="14">
        <f t="shared" si="156"/>
        <v>0</v>
      </c>
      <c r="AL171" s="14">
        <f t="shared" si="157"/>
        <v>0</v>
      </c>
      <c r="AN171" s="28">
        <v>21</v>
      </c>
      <c r="AO171" s="28">
        <f t="shared" si="158"/>
        <v>0</v>
      </c>
      <c r="AP171" s="28">
        <f t="shared" si="159"/>
        <v>0</v>
      </c>
      <c r="AQ171" s="24" t="s">
        <v>13</v>
      </c>
      <c r="AV171" s="28">
        <f t="shared" si="160"/>
        <v>0</v>
      </c>
      <c r="AW171" s="28">
        <f t="shared" si="161"/>
        <v>0</v>
      </c>
      <c r="AX171" s="28">
        <f t="shared" si="162"/>
        <v>0</v>
      </c>
      <c r="AY171" s="29" t="s">
        <v>535</v>
      </c>
      <c r="AZ171" s="29" t="s">
        <v>544</v>
      </c>
      <c r="BA171" s="23" t="s">
        <v>546</v>
      </c>
      <c r="BC171" s="28">
        <f t="shared" si="163"/>
        <v>0</v>
      </c>
      <c r="BD171" s="28">
        <f t="shared" si="164"/>
        <v>0</v>
      </c>
      <c r="BE171" s="28">
        <v>0</v>
      </c>
      <c r="BF171" s="28">
        <f>171</f>
        <v>171</v>
      </c>
      <c r="BH171" s="14">
        <f t="shared" si="165"/>
        <v>0</v>
      </c>
      <c r="BI171" s="14">
        <f t="shared" si="166"/>
        <v>0</v>
      </c>
      <c r="BJ171" s="14">
        <f t="shared" si="167"/>
        <v>0</v>
      </c>
    </row>
    <row r="172" spans="1:62" x14ac:dyDescent="0.2">
      <c r="A172" s="4" t="s">
        <v>141</v>
      </c>
      <c r="B172" s="4" t="s">
        <v>288</v>
      </c>
      <c r="C172" s="113" t="s">
        <v>463</v>
      </c>
      <c r="D172" s="114"/>
      <c r="E172" s="114"/>
      <c r="F172" s="4" t="s">
        <v>486</v>
      </c>
      <c r="G172" s="59">
        <v>4.1900000000000004</v>
      </c>
      <c r="H172" s="14">
        <v>0</v>
      </c>
      <c r="I172" s="14">
        <f t="shared" si="144"/>
        <v>0</v>
      </c>
      <c r="J172" s="14">
        <f t="shared" si="145"/>
        <v>0</v>
      </c>
      <c r="K172" s="14">
        <f t="shared" si="146"/>
        <v>0</v>
      </c>
      <c r="L172" s="24" t="s">
        <v>505</v>
      </c>
      <c r="Z172" s="28">
        <f t="shared" si="147"/>
        <v>0</v>
      </c>
      <c r="AB172" s="28">
        <f t="shared" si="148"/>
        <v>0</v>
      </c>
      <c r="AC172" s="28">
        <f t="shared" si="149"/>
        <v>0</v>
      </c>
      <c r="AD172" s="28">
        <f t="shared" si="150"/>
        <v>0</v>
      </c>
      <c r="AE172" s="28">
        <f t="shared" si="151"/>
        <v>0</v>
      </c>
      <c r="AF172" s="28">
        <f t="shared" si="152"/>
        <v>0</v>
      </c>
      <c r="AG172" s="28">
        <f t="shared" si="153"/>
        <v>0</v>
      </c>
      <c r="AH172" s="28">
        <f t="shared" si="154"/>
        <v>0</v>
      </c>
      <c r="AI172" s="23" t="s">
        <v>515</v>
      </c>
      <c r="AJ172" s="14">
        <f t="shared" si="155"/>
        <v>0</v>
      </c>
      <c r="AK172" s="14">
        <f t="shared" si="156"/>
        <v>0</v>
      </c>
      <c r="AL172" s="14">
        <f t="shared" si="157"/>
        <v>0</v>
      </c>
      <c r="AN172" s="28">
        <v>21</v>
      </c>
      <c r="AO172" s="28">
        <f t="shared" si="158"/>
        <v>0</v>
      </c>
      <c r="AP172" s="28">
        <f t="shared" si="159"/>
        <v>0</v>
      </c>
      <c r="AQ172" s="24" t="s">
        <v>13</v>
      </c>
      <c r="AV172" s="28">
        <f t="shared" si="160"/>
        <v>0</v>
      </c>
      <c r="AW172" s="28">
        <f t="shared" si="161"/>
        <v>0</v>
      </c>
      <c r="AX172" s="28">
        <f t="shared" si="162"/>
        <v>0</v>
      </c>
      <c r="AY172" s="29" t="s">
        <v>535</v>
      </c>
      <c r="AZ172" s="29" t="s">
        <v>544</v>
      </c>
      <c r="BA172" s="23" t="s">
        <v>546</v>
      </c>
      <c r="BC172" s="28">
        <f t="shared" si="163"/>
        <v>0</v>
      </c>
      <c r="BD172" s="28">
        <f t="shared" si="164"/>
        <v>0</v>
      </c>
      <c r="BE172" s="28">
        <v>0</v>
      </c>
      <c r="BF172" s="28">
        <f>172</f>
        <v>172</v>
      </c>
      <c r="BH172" s="14">
        <f t="shared" si="165"/>
        <v>0</v>
      </c>
      <c r="BI172" s="14">
        <f t="shared" si="166"/>
        <v>0</v>
      </c>
      <c r="BJ172" s="14">
        <f t="shared" si="167"/>
        <v>0</v>
      </c>
    </row>
    <row r="173" spans="1:62" x14ac:dyDescent="0.2">
      <c r="A173" s="4" t="s">
        <v>142</v>
      </c>
      <c r="B173" s="4" t="s">
        <v>288</v>
      </c>
      <c r="C173" s="113" t="s">
        <v>464</v>
      </c>
      <c r="D173" s="114"/>
      <c r="E173" s="114"/>
      <c r="F173" s="4" t="s">
        <v>486</v>
      </c>
      <c r="G173" s="59">
        <v>4.1909999999999998</v>
      </c>
      <c r="H173" s="14">
        <v>0</v>
      </c>
      <c r="I173" s="14">
        <f t="shared" si="144"/>
        <v>0</v>
      </c>
      <c r="J173" s="14">
        <f t="shared" si="145"/>
        <v>0</v>
      </c>
      <c r="K173" s="14">
        <f t="shared" si="146"/>
        <v>0</v>
      </c>
      <c r="L173" s="24" t="s">
        <v>505</v>
      </c>
      <c r="Z173" s="28">
        <f t="shared" si="147"/>
        <v>0</v>
      </c>
      <c r="AB173" s="28">
        <f t="shared" si="148"/>
        <v>0</v>
      </c>
      <c r="AC173" s="28">
        <f t="shared" si="149"/>
        <v>0</v>
      </c>
      <c r="AD173" s="28">
        <f t="shared" si="150"/>
        <v>0</v>
      </c>
      <c r="AE173" s="28">
        <f t="shared" si="151"/>
        <v>0</v>
      </c>
      <c r="AF173" s="28">
        <f t="shared" si="152"/>
        <v>0</v>
      </c>
      <c r="AG173" s="28">
        <f t="shared" si="153"/>
        <v>0</v>
      </c>
      <c r="AH173" s="28">
        <f t="shared" si="154"/>
        <v>0</v>
      </c>
      <c r="AI173" s="23" t="s">
        <v>515</v>
      </c>
      <c r="AJ173" s="14">
        <f t="shared" si="155"/>
        <v>0</v>
      </c>
      <c r="AK173" s="14">
        <f t="shared" si="156"/>
        <v>0</v>
      </c>
      <c r="AL173" s="14">
        <f t="shared" si="157"/>
        <v>0</v>
      </c>
      <c r="AN173" s="28">
        <v>21</v>
      </c>
      <c r="AO173" s="28">
        <f t="shared" si="158"/>
        <v>0</v>
      </c>
      <c r="AP173" s="28">
        <f t="shared" si="159"/>
        <v>0</v>
      </c>
      <c r="AQ173" s="24" t="s">
        <v>13</v>
      </c>
      <c r="AV173" s="28">
        <f t="shared" si="160"/>
        <v>0</v>
      </c>
      <c r="AW173" s="28">
        <f t="shared" si="161"/>
        <v>0</v>
      </c>
      <c r="AX173" s="28">
        <f t="shared" si="162"/>
        <v>0</v>
      </c>
      <c r="AY173" s="29" t="s">
        <v>535</v>
      </c>
      <c r="AZ173" s="29" t="s">
        <v>544</v>
      </c>
      <c r="BA173" s="23" t="s">
        <v>546</v>
      </c>
      <c r="BC173" s="28">
        <f t="shared" si="163"/>
        <v>0</v>
      </c>
      <c r="BD173" s="28">
        <f t="shared" si="164"/>
        <v>0</v>
      </c>
      <c r="BE173" s="28">
        <v>0</v>
      </c>
      <c r="BF173" s="28">
        <f>173</f>
        <v>173</v>
      </c>
      <c r="BH173" s="14">
        <f t="shared" si="165"/>
        <v>0</v>
      </c>
      <c r="BI173" s="14">
        <f t="shared" si="166"/>
        <v>0</v>
      </c>
      <c r="BJ173" s="14">
        <f t="shared" si="167"/>
        <v>0</v>
      </c>
    </row>
    <row r="174" spans="1:62" x14ac:dyDescent="0.2">
      <c r="A174" s="3"/>
      <c r="B174" s="10" t="s">
        <v>289</v>
      </c>
      <c r="C174" s="120" t="s">
        <v>465</v>
      </c>
      <c r="D174" s="121"/>
      <c r="E174" s="121"/>
      <c r="F174" s="3" t="s">
        <v>6</v>
      </c>
      <c r="G174" s="3" t="s">
        <v>6</v>
      </c>
      <c r="H174" s="3" t="s">
        <v>6</v>
      </c>
      <c r="I174" s="30">
        <f>SUM(I175:I176)</f>
        <v>0</v>
      </c>
      <c r="J174" s="30">
        <f>SUM(J175:J176)</f>
        <v>0</v>
      </c>
      <c r="K174" s="30">
        <f>SUM(K175:K176)</f>
        <v>0</v>
      </c>
      <c r="L174" s="23"/>
      <c r="AI174" s="23" t="s">
        <v>515</v>
      </c>
      <c r="AS174" s="30">
        <f>SUM(AJ175:AJ176)</f>
        <v>0</v>
      </c>
      <c r="AT174" s="30">
        <f>SUM(AK175:AK176)</f>
        <v>0</v>
      </c>
      <c r="AU174" s="30">
        <f>SUM(AL175:AL176)</f>
        <v>0</v>
      </c>
    </row>
    <row r="175" spans="1:62" x14ac:dyDescent="0.2">
      <c r="A175" s="4" t="s">
        <v>143</v>
      </c>
      <c r="B175" s="4" t="s">
        <v>290</v>
      </c>
      <c r="C175" s="113" t="s">
        <v>466</v>
      </c>
      <c r="D175" s="114"/>
      <c r="E175" s="114"/>
      <c r="F175" s="4" t="s">
        <v>484</v>
      </c>
      <c r="G175" s="59">
        <v>1</v>
      </c>
      <c r="H175" s="14">
        <v>0</v>
      </c>
      <c r="I175" s="14">
        <f>G175*AO175</f>
        <v>0</v>
      </c>
      <c r="J175" s="14">
        <f>G175*AP175</f>
        <v>0</v>
      </c>
      <c r="K175" s="14">
        <f>G175*H175</f>
        <v>0</v>
      </c>
      <c r="L175" s="24" t="s">
        <v>505</v>
      </c>
      <c r="Z175" s="28">
        <f>IF(AQ175="5",BJ175,0)</f>
        <v>0</v>
      </c>
      <c r="AB175" s="28">
        <f>IF(AQ175="1",BH175,0)</f>
        <v>0</v>
      </c>
      <c r="AC175" s="28">
        <f>IF(AQ175="1",BI175,0)</f>
        <v>0</v>
      </c>
      <c r="AD175" s="28">
        <f>IF(AQ175="7",BH175,0)</f>
        <v>0</v>
      </c>
      <c r="AE175" s="28">
        <f>IF(AQ175="7",BI175,0)</f>
        <v>0</v>
      </c>
      <c r="AF175" s="28">
        <f>IF(AQ175="2",BH175,0)</f>
        <v>0</v>
      </c>
      <c r="AG175" s="28">
        <f>IF(AQ175="2",BI175,0)</f>
        <v>0</v>
      </c>
      <c r="AH175" s="28">
        <f>IF(AQ175="0",BJ175,0)</f>
        <v>0</v>
      </c>
      <c r="AI175" s="23" t="s">
        <v>515</v>
      </c>
      <c r="AJ175" s="14">
        <f>IF(AN175=0,K175,0)</f>
        <v>0</v>
      </c>
      <c r="AK175" s="14">
        <f>IF(AN175=15,K175,0)</f>
        <v>0</v>
      </c>
      <c r="AL175" s="14">
        <f>IF(AN175=21,K175,0)</f>
        <v>0</v>
      </c>
      <c r="AN175" s="28">
        <v>21</v>
      </c>
      <c r="AO175" s="28">
        <f>H175*0</f>
        <v>0</v>
      </c>
      <c r="AP175" s="28">
        <f>H175*(1-0)</f>
        <v>0</v>
      </c>
      <c r="AQ175" s="24" t="s">
        <v>8</v>
      </c>
      <c r="AV175" s="28">
        <f>AW175+AX175</f>
        <v>0</v>
      </c>
      <c r="AW175" s="28">
        <f>G175*AO175</f>
        <v>0</v>
      </c>
      <c r="AX175" s="28">
        <f>G175*AP175</f>
        <v>0</v>
      </c>
      <c r="AY175" s="29" t="s">
        <v>536</v>
      </c>
      <c r="AZ175" s="29" t="s">
        <v>541</v>
      </c>
      <c r="BA175" s="23" t="s">
        <v>546</v>
      </c>
      <c r="BC175" s="28">
        <f>AW175+AX175</f>
        <v>0</v>
      </c>
      <c r="BD175" s="28">
        <f>H175/(100-BE175)*100</f>
        <v>0</v>
      </c>
      <c r="BE175" s="28">
        <v>0</v>
      </c>
      <c r="BF175" s="28">
        <f>175</f>
        <v>175</v>
      </c>
      <c r="BH175" s="14">
        <f>G175*AO175</f>
        <v>0</v>
      </c>
      <c r="BI175" s="14">
        <f>G175*AP175</f>
        <v>0</v>
      </c>
      <c r="BJ175" s="14">
        <f>G175*H175</f>
        <v>0</v>
      </c>
    </row>
    <row r="176" spans="1:62" x14ac:dyDescent="0.2">
      <c r="A176" s="4" t="s">
        <v>144</v>
      </c>
      <c r="B176" s="4" t="s">
        <v>291</v>
      </c>
      <c r="C176" s="113" t="s">
        <v>467</v>
      </c>
      <c r="D176" s="114"/>
      <c r="E176" s="114"/>
      <c r="F176" s="4" t="s">
        <v>484</v>
      </c>
      <c r="G176" s="59">
        <v>1</v>
      </c>
      <c r="H176" s="14">
        <v>0</v>
      </c>
      <c r="I176" s="14">
        <f>G176*AO176</f>
        <v>0</v>
      </c>
      <c r="J176" s="14">
        <f>G176*AP176</f>
        <v>0</v>
      </c>
      <c r="K176" s="14">
        <f>G176*H176</f>
        <v>0</v>
      </c>
      <c r="L176" s="24" t="s">
        <v>505</v>
      </c>
      <c r="Z176" s="28">
        <f>IF(AQ176="5",BJ176,0)</f>
        <v>0</v>
      </c>
      <c r="AB176" s="28">
        <f>IF(AQ176="1",BH176,0)</f>
        <v>0</v>
      </c>
      <c r="AC176" s="28">
        <f>IF(AQ176="1",BI176,0)</f>
        <v>0</v>
      </c>
      <c r="AD176" s="28">
        <f>IF(AQ176="7",BH176,0)</f>
        <v>0</v>
      </c>
      <c r="AE176" s="28">
        <f>IF(AQ176="7",BI176,0)</f>
        <v>0</v>
      </c>
      <c r="AF176" s="28">
        <f>IF(AQ176="2",BH176,0)</f>
        <v>0</v>
      </c>
      <c r="AG176" s="28">
        <f>IF(AQ176="2",BI176,0)</f>
        <v>0</v>
      </c>
      <c r="AH176" s="28">
        <f>IF(AQ176="0",BJ176,0)</f>
        <v>0</v>
      </c>
      <c r="AI176" s="23" t="s">
        <v>515</v>
      </c>
      <c r="AJ176" s="14">
        <f>IF(AN176=0,K176,0)</f>
        <v>0</v>
      </c>
      <c r="AK176" s="14">
        <f>IF(AN176=15,K176,0)</f>
        <v>0</v>
      </c>
      <c r="AL176" s="14">
        <f>IF(AN176=21,K176,0)</f>
        <v>0</v>
      </c>
      <c r="AN176" s="28">
        <v>21</v>
      </c>
      <c r="AO176" s="28">
        <f>H176*0</f>
        <v>0</v>
      </c>
      <c r="AP176" s="28">
        <f>H176*(1-0)</f>
        <v>0</v>
      </c>
      <c r="AQ176" s="24" t="s">
        <v>8</v>
      </c>
      <c r="AV176" s="28">
        <f>AW176+AX176</f>
        <v>0</v>
      </c>
      <c r="AW176" s="28">
        <f>G176*AO176</f>
        <v>0</v>
      </c>
      <c r="AX176" s="28">
        <f>G176*AP176</f>
        <v>0</v>
      </c>
      <c r="AY176" s="29" t="s">
        <v>536</v>
      </c>
      <c r="AZ176" s="29" t="s">
        <v>541</v>
      </c>
      <c r="BA176" s="23" t="s">
        <v>546</v>
      </c>
      <c r="BC176" s="28">
        <f>AW176+AX176</f>
        <v>0</v>
      </c>
      <c r="BD176" s="28">
        <f>H176/(100-BE176)*100</f>
        <v>0</v>
      </c>
      <c r="BE176" s="28">
        <v>0</v>
      </c>
      <c r="BF176" s="28">
        <f>176</f>
        <v>176</v>
      </c>
      <c r="BH176" s="14">
        <f>G176*AO176</f>
        <v>0</v>
      </c>
      <c r="BI176" s="14">
        <f>G176*AP176</f>
        <v>0</v>
      </c>
      <c r="BJ176" s="14">
        <f>G176*H176</f>
        <v>0</v>
      </c>
    </row>
    <row r="177" spans="1:62" ht="89.85" customHeight="1" x14ac:dyDescent="0.2">
      <c r="B177" s="11"/>
      <c r="C177" s="118" t="s">
        <v>468</v>
      </c>
      <c r="D177" s="119"/>
      <c r="E177" s="119"/>
      <c r="F177" s="119"/>
      <c r="G177" s="119"/>
      <c r="H177" s="119"/>
      <c r="I177" s="119"/>
      <c r="J177" s="119"/>
      <c r="K177" s="119"/>
      <c r="L177" s="119"/>
    </row>
    <row r="178" spans="1:62" x14ac:dyDescent="0.2">
      <c r="A178" s="3"/>
      <c r="B178" s="10" t="s">
        <v>292</v>
      </c>
      <c r="C178" s="120" t="s">
        <v>469</v>
      </c>
      <c r="D178" s="121"/>
      <c r="E178" s="121"/>
      <c r="F178" s="3" t="s">
        <v>6</v>
      </c>
      <c r="G178" s="3" t="s">
        <v>6</v>
      </c>
      <c r="H178" s="3" t="s">
        <v>6</v>
      </c>
      <c r="I178" s="30">
        <f>SUM(I179:I180)</f>
        <v>0</v>
      </c>
      <c r="J178" s="30">
        <f>SUM(J179:J180)</f>
        <v>0</v>
      </c>
      <c r="K178" s="30">
        <f>SUM(K179:K180)</f>
        <v>0</v>
      </c>
      <c r="L178" s="23"/>
      <c r="AI178" s="23" t="s">
        <v>515</v>
      </c>
      <c r="AS178" s="30">
        <f>SUM(AJ179:AJ180)</f>
        <v>0</v>
      </c>
      <c r="AT178" s="30">
        <f>SUM(AK179:AK180)</f>
        <v>0</v>
      </c>
      <c r="AU178" s="30">
        <f>SUM(AL179:AL180)</f>
        <v>0</v>
      </c>
    </row>
    <row r="179" spans="1:62" x14ac:dyDescent="0.2">
      <c r="A179" s="4" t="s">
        <v>145</v>
      </c>
      <c r="B179" s="4" t="s">
        <v>293</v>
      </c>
      <c r="C179" s="113" t="s">
        <v>470</v>
      </c>
      <c r="D179" s="114"/>
      <c r="E179" s="114"/>
      <c r="F179" s="4" t="s">
        <v>484</v>
      </c>
      <c r="G179" s="59">
        <v>1</v>
      </c>
      <c r="H179" s="14">
        <v>0</v>
      </c>
      <c r="I179" s="14">
        <f>G179*AO179</f>
        <v>0</v>
      </c>
      <c r="J179" s="14">
        <f>G179*AP179</f>
        <v>0</v>
      </c>
      <c r="K179" s="14">
        <f>G179*H179</f>
        <v>0</v>
      </c>
      <c r="L179" s="24" t="s">
        <v>505</v>
      </c>
      <c r="Z179" s="28">
        <f>IF(AQ179="5",BJ179,0)</f>
        <v>0</v>
      </c>
      <c r="AB179" s="28">
        <f>IF(AQ179="1",BH179,0)</f>
        <v>0</v>
      </c>
      <c r="AC179" s="28">
        <f>IF(AQ179="1",BI179,0)</f>
        <v>0</v>
      </c>
      <c r="AD179" s="28">
        <f>IF(AQ179="7",BH179,0)</f>
        <v>0</v>
      </c>
      <c r="AE179" s="28">
        <f>IF(AQ179="7",BI179,0)</f>
        <v>0</v>
      </c>
      <c r="AF179" s="28">
        <f>IF(AQ179="2",BH179,0)</f>
        <v>0</v>
      </c>
      <c r="AG179" s="28">
        <f>IF(AQ179="2",BI179,0)</f>
        <v>0</v>
      </c>
      <c r="AH179" s="28">
        <f>IF(AQ179="0",BJ179,0)</f>
        <v>0</v>
      </c>
      <c r="AI179" s="23" t="s">
        <v>515</v>
      </c>
      <c r="AJ179" s="14">
        <f>IF(AN179=0,K179,0)</f>
        <v>0</v>
      </c>
      <c r="AK179" s="14">
        <f>IF(AN179=15,K179,0)</f>
        <v>0</v>
      </c>
      <c r="AL179" s="14">
        <f>IF(AN179=21,K179,0)</f>
        <v>0</v>
      </c>
      <c r="AN179" s="28">
        <v>21</v>
      </c>
      <c r="AO179" s="28">
        <f>H179*0</f>
        <v>0</v>
      </c>
      <c r="AP179" s="28">
        <f>H179*(1-0)</f>
        <v>0</v>
      </c>
      <c r="AQ179" s="24" t="s">
        <v>8</v>
      </c>
      <c r="AV179" s="28">
        <f>AW179+AX179</f>
        <v>0</v>
      </c>
      <c r="AW179" s="28">
        <f>G179*AO179</f>
        <v>0</v>
      </c>
      <c r="AX179" s="28">
        <f>G179*AP179</f>
        <v>0</v>
      </c>
      <c r="AY179" s="29" t="s">
        <v>537</v>
      </c>
      <c r="AZ179" s="29" t="s">
        <v>541</v>
      </c>
      <c r="BA179" s="23" t="s">
        <v>546</v>
      </c>
      <c r="BC179" s="28">
        <f>AW179+AX179</f>
        <v>0</v>
      </c>
      <c r="BD179" s="28">
        <f>H179/(100-BE179)*100</f>
        <v>0</v>
      </c>
      <c r="BE179" s="28">
        <v>0</v>
      </c>
      <c r="BF179" s="28">
        <f>179</f>
        <v>179</v>
      </c>
      <c r="BH179" s="14">
        <f>G179*AO179</f>
        <v>0</v>
      </c>
      <c r="BI179" s="14">
        <f>G179*AP179</f>
        <v>0</v>
      </c>
      <c r="BJ179" s="14">
        <f>G179*H179</f>
        <v>0</v>
      </c>
    </row>
    <row r="180" spans="1:62" x14ac:dyDescent="0.2">
      <c r="A180" s="4" t="s">
        <v>146</v>
      </c>
      <c r="B180" s="4" t="s">
        <v>294</v>
      </c>
      <c r="C180" s="113" t="s">
        <v>471</v>
      </c>
      <c r="D180" s="114"/>
      <c r="E180" s="114"/>
      <c r="F180" s="4" t="s">
        <v>484</v>
      </c>
      <c r="G180" s="59">
        <v>1</v>
      </c>
      <c r="H180" s="14">
        <v>0</v>
      </c>
      <c r="I180" s="14">
        <f>G180*AO180</f>
        <v>0</v>
      </c>
      <c r="J180" s="14">
        <f>G180*AP180</f>
        <v>0</v>
      </c>
      <c r="K180" s="14">
        <f>G180*H180</f>
        <v>0</v>
      </c>
      <c r="L180" s="24" t="s">
        <v>505</v>
      </c>
      <c r="Z180" s="28">
        <f>IF(AQ180="5",BJ180,0)</f>
        <v>0</v>
      </c>
      <c r="AB180" s="28">
        <f>IF(AQ180="1",BH180,0)</f>
        <v>0</v>
      </c>
      <c r="AC180" s="28">
        <f>IF(AQ180="1",BI180,0)</f>
        <v>0</v>
      </c>
      <c r="AD180" s="28">
        <f>IF(AQ180="7",BH180,0)</f>
        <v>0</v>
      </c>
      <c r="AE180" s="28">
        <f>IF(AQ180="7",BI180,0)</f>
        <v>0</v>
      </c>
      <c r="AF180" s="28">
        <f>IF(AQ180="2",BH180,0)</f>
        <v>0</v>
      </c>
      <c r="AG180" s="28">
        <f>IF(AQ180="2",BI180,0)</f>
        <v>0</v>
      </c>
      <c r="AH180" s="28">
        <f>IF(AQ180="0",BJ180,0)</f>
        <v>0</v>
      </c>
      <c r="AI180" s="23" t="s">
        <v>515</v>
      </c>
      <c r="AJ180" s="14">
        <f>IF(AN180=0,K180,0)</f>
        <v>0</v>
      </c>
      <c r="AK180" s="14">
        <f>IF(AN180=15,K180,0)</f>
        <v>0</v>
      </c>
      <c r="AL180" s="14">
        <f>IF(AN180=21,K180,0)</f>
        <v>0</v>
      </c>
      <c r="AN180" s="28">
        <v>21</v>
      </c>
      <c r="AO180" s="28">
        <f>H180*0</f>
        <v>0</v>
      </c>
      <c r="AP180" s="28">
        <f>H180*(1-0)</f>
        <v>0</v>
      </c>
      <c r="AQ180" s="24" t="s">
        <v>8</v>
      </c>
      <c r="AV180" s="28">
        <f>AW180+AX180</f>
        <v>0</v>
      </c>
      <c r="AW180" s="28">
        <f>G180*AO180</f>
        <v>0</v>
      </c>
      <c r="AX180" s="28">
        <f>G180*AP180</f>
        <v>0</v>
      </c>
      <c r="AY180" s="29" t="s">
        <v>537</v>
      </c>
      <c r="AZ180" s="29" t="s">
        <v>541</v>
      </c>
      <c r="BA180" s="23" t="s">
        <v>546</v>
      </c>
      <c r="BC180" s="28">
        <f>AW180+AX180</f>
        <v>0</v>
      </c>
      <c r="BD180" s="28">
        <f>H180/(100-BE180)*100</f>
        <v>0</v>
      </c>
      <c r="BE180" s="28">
        <v>0</v>
      </c>
      <c r="BF180" s="28">
        <f>180</f>
        <v>180</v>
      </c>
      <c r="BH180" s="14">
        <f>G180*AO180</f>
        <v>0</v>
      </c>
      <c r="BI180" s="14">
        <f>G180*AP180</f>
        <v>0</v>
      </c>
      <c r="BJ180" s="14">
        <f>G180*H180</f>
        <v>0</v>
      </c>
    </row>
    <row r="181" spans="1:62" ht="64.150000000000006" customHeight="1" x14ac:dyDescent="0.2">
      <c r="B181" s="11"/>
      <c r="C181" s="118" t="s">
        <v>472</v>
      </c>
      <c r="D181" s="119"/>
      <c r="E181" s="119"/>
      <c r="F181" s="119"/>
      <c r="G181" s="119"/>
      <c r="H181" s="119"/>
      <c r="I181" s="119"/>
      <c r="J181" s="119"/>
      <c r="K181" s="119"/>
      <c r="L181" s="119"/>
    </row>
    <row r="182" spans="1:62" x14ac:dyDescent="0.2">
      <c r="A182" s="3"/>
      <c r="B182" s="10" t="s">
        <v>295</v>
      </c>
      <c r="C182" s="120" t="s">
        <v>473</v>
      </c>
      <c r="D182" s="121"/>
      <c r="E182" s="121"/>
      <c r="F182" s="3" t="s">
        <v>6</v>
      </c>
      <c r="G182" s="3" t="s">
        <v>6</v>
      </c>
      <c r="H182" s="3" t="s">
        <v>6</v>
      </c>
      <c r="I182" s="30">
        <f>SUM(I183:I186)</f>
        <v>0</v>
      </c>
      <c r="J182" s="30">
        <f>SUM(J183:J186)</f>
        <v>0</v>
      </c>
      <c r="K182" s="30">
        <f>SUM(K183:K186)</f>
        <v>0</v>
      </c>
      <c r="L182" s="23"/>
      <c r="AI182" s="23" t="s">
        <v>515</v>
      </c>
      <c r="AS182" s="30">
        <f>SUM(AJ183:AJ186)</f>
        <v>0</v>
      </c>
      <c r="AT182" s="30">
        <f>SUM(AK183:AK186)</f>
        <v>0</v>
      </c>
      <c r="AU182" s="30">
        <f>SUM(AL183:AL186)</f>
        <v>0</v>
      </c>
    </row>
    <row r="183" spans="1:62" x14ac:dyDescent="0.2">
      <c r="A183" s="4" t="s">
        <v>147</v>
      </c>
      <c r="B183" s="4" t="s">
        <v>296</v>
      </c>
      <c r="C183" s="113" t="s">
        <v>474</v>
      </c>
      <c r="D183" s="114"/>
      <c r="E183" s="114"/>
      <c r="F183" s="4" t="s">
        <v>484</v>
      </c>
      <c r="G183" s="59">
        <v>1</v>
      </c>
      <c r="H183" s="14">
        <v>0</v>
      </c>
      <c r="I183" s="14">
        <f>G183*AO183</f>
        <v>0</v>
      </c>
      <c r="J183" s="14">
        <f>G183*AP183</f>
        <v>0</v>
      </c>
      <c r="K183" s="14">
        <f>G183*H183</f>
        <v>0</v>
      </c>
      <c r="L183" s="24" t="s">
        <v>505</v>
      </c>
      <c r="Z183" s="28">
        <f>IF(AQ183="5",BJ183,0)</f>
        <v>0</v>
      </c>
      <c r="AB183" s="28">
        <f>IF(AQ183="1",BH183,0)</f>
        <v>0</v>
      </c>
      <c r="AC183" s="28">
        <f>IF(AQ183="1",BI183,0)</f>
        <v>0</v>
      </c>
      <c r="AD183" s="28">
        <f>IF(AQ183="7",BH183,0)</f>
        <v>0</v>
      </c>
      <c r="AE183" s="28">
        <f>IF(AQ183="7",BI183,0)</f>
        <v>0</v>
      </c>
      <c r="AF183" s="28">
        <f>IF(AQ183="2",BH183,0)</f>
        <v>0</v>
      </c>
      <c r="AG183" s="28">
        <f>IF(AQ183="2",BI183,0)</f>
        <v>0</v>
      </c>
      <c r="AH183" s="28">
        <f>IF(AQ183="0",BJ183,0)</f>
        <v>0</v>
      </c>
      <c r="AI183" s="23" t="s">
        <v>515</v>
      </c>
      <c r="AJ183" s="14">
        <f>IF(AN183=0,K183,0)</f>
        <v>0</v>
      </c>
      <c r="AK183" s="14">
        <f>IF(AN183=15,K183,0)</f>
        <v>0</v>
      </c>
      <c r="AL183" s="14">
        <f>IF(AN183=21,K183,0)</f>
        <v>0</v>
      </c>
      <c r="AN183" s="28">
        <v>21</v>
      </c>
      <c r="AO183" s="28">
        <f>H183*0</f>
        <v>0</v>
      </c>
      <c r="AP183" s="28">
        <f>H183*(1-0)</f>
        <v>0</v>
      </c>
      <c r="AQ183" s="24" t="s">
        <v>7</v>
      </c>
      <c r="AV183" s="28">
        <f>AW183+AX183</f>
        <v>0</v>
      </c>
      <c r="AW183" s="28">
        <f>G183*AO183</f>
        <v>0</v>
      </c>
      <c r="AX183" s="28">
        <f>G183*AP183</f>
        <v>0</v>
      </c>
      <c r="AY183" s="29" t="s">
        <v>538</v>
      </c>
      <c r="AZ183" s="29" t="s">
        <v>545</v>
      </c>
      <c r="BA183" s="23" t="s">
        <v>546</v>
      </c>
      <c r="BC183" s="28">
        <f>AW183+AX183</f>
        <v>0</v>
      </c>
      <c r="BD183" s="28">
        <f>H183/(100-BE183)*100</f>
        <v>0</v>
      </c>
      <c r="BE183" s="28">
        <v>0</v>
      </c>
      <c r="BF183" s="28">
        <f>183</f>
        <v>183</v>
      </c>
      <c r="BH183" s="14">
        <f>G183*AO183</f>
        <v>0</v>
      </c>
      <c r="BI183" s="14">
        <f>G183*AP183</f>
        <v>0</v>
      </c>
      <c r="BJ183" s="14">
        <f>G183*H183</f>
        <v>0</v>
      </c>
    </row>
    <row r="184" spans="1:62" x14ac:dyDescent="0.2">
      <c r="A184" s="4" t="s">
        <v>148</v>
      </c>
      <c r="B184" s="4" t="s">
        <v>297</v>
      </c>
      <c r="C184" s="113" t="s">
        <v>475</v>
      </c>
      <c r="D184" s="114"/>
      <c r="E184" s="114"/>
      <c r="F184" s="4" t="s">
        <v>484</v>
      </c>
      <c r="G184" s="59">
        <v>1</v>
      </c>
      <c r="H184" s="14">
        <v>0</v>
      </c>
      <c r="I184" s="14">
        <f>G184*AO184</f>
        <v>0</v>
      </c>
      <c r="J184" s="14">
        <f>G184*AP184</f>
        <v>0</v>
      </c>
      <c r="K184" s="14">
        <f>G184*H184</f>
        <v>0</v>
      </c>
      <c r="L184" s="24" t="s">
        <v>505</v>
      </c>
      <c r="Z184" s="28">
        <f>IF(AQ184="5",BJ184,0)</f>
        <v>0</v>
      </c>
      <c r="AB184" s="28">
        <f>IF(AQ184="1",BH184,0)</f>
        <v>0</v>
      </c>
      <c r="AC184" s="28">
        <f>IF(AQ184="1",BI184,0)</f>
        <v>0</v>
      </c>
      <c r="AD184" s="28">
        <f>IF(AQ184="7",BH184,0)</f>
        <v>0</v>
      </c>
      <c r="AE184" s="28">
        <f>IF(AQ184="7",BI184,0)</f>
        <v>0</v>
      </c>
      <c r="AF184" s="28">
        <f>IF(AQ184="2",BH184,0)</f>
        <v>0</v>
      </c>
      <c r="AG184" s="28">
        <f>IF(AQ184="2",BI184,0)</f>
        <v>0</v>
      </c>
      <c r="AH184" s="28">
        <f>IF(AQ184="0",BJ184,0)</f>
        <v>0</v>
      </c>
      <c r="AI184" s="23" t="s">
        <v>515</v>
      </c>
      <c r="AJ184" s="14">
        <f>IF(AN184=0,K184,0)</f>
        <v>0</v>
      </c>
      <c r="AK184" s="14">
        <f>IF(AN184=15,K184,0)</f>
        <v>0</v>
      </c>
      <c r="AL184" s="14">
        <f>IF(AN184=21,K184,0)</f>
        <v>0</v>
      </c>
      <c r="AN184" s="28">
        <v>21</v>
      </c>
      <c r="AO184" s="28">
        <f>H184*0</f>
        <v>0</v>
      </c>
      <c r="AP184" s="28">
        <f>H184*(1-0)</f>
        <v>0</v>
      </c>
      <c r="AQ184" s="24" t="s">
        <v>7</v>
      </c>
      <c r="AV184" s="28">
        <f>AW184+AX184</f>
        <v>0</v>
      </c>
      <c r="AW184" s="28">
        <f>G184*AO184</f>
        <v>0</v>
      </c>
      <c r="AX184" s="28">
        <f>G184*AP184</f>
        <v>0</v>
      </c>
      <c r="AY184" s="29" t="s">
        <v>538</v>
      </c>
      <c r="AZ184" s="29" t="s">
        <v>545</v>
      </c>
      <c r="BA184" s="23" t="s">
        <v>546</v>
      </c>
      <c r="BC184" s="28">
        <f>AW184+AX184</f>
        <v>0</v>
      </c>
      <c r="BD184" s="28">
        <f>H184/(100-BE184)*100</f>
        <v>0</v>
      </c>
      <c r="BE184" s="28">
        <v>0</v>
      </c>
      <c r="BF184" s="28">
        <f>184</f>
        <v>184</v>
      </c>
      <c r="BH184" s="14">
        <f>G184*AO184</f>
        <v>0</v>
      </c>
      <c r="BI184" s="14">
        <f>G184*AP184</f>
        <v>0</v>
      </c>
      <c r="BJ184" s="14">
        <f>G184*H184</f>
        <v>0</v>
      </c>
    </row>
    <row r="185" spans="1:62" x14ac:dyDescent="0.2">
      <c r="A185" s="4" t="s">
        <v>149</v>
      </c>
      <c r="B185" s="4" t="s">
        <v>298</v>
      </c>
      <c r="C185" s="113" t="s">
        <v>476</v>
      </c>
      <c r="D185" s="114"/>
      <c r="E185" s="114"/>
      <c r="F185" s="4" t="s">
        <v>484</v>
      </c>
      <c r="G185" s="59">
        <v>1</v>
      </c>
      <c r="H185" s="14">
        <v>0</v>
      </c>
      <c r="I185" s="14">
        <f>G185*AO185</f>
        <v>0</v>
      </c>
      <c r="J185" s="14">
        <f>G185*AP185</f>
        <v>0</v>
      </c>
      <c r="K185" s="14">
        <f>G185*H185</f>
        <v>0</v>
      </c>
      <c r="L185" s="24" t="s">
        <v>505</v>
      </c>
      <c r="Z185" s="28">
        <f>IF(AQ185="5",BJ185,0)</f>
        <v>0</v>
      </c>
      <c r="AB185" s="28">
        <f>IF(AQ185="1",BH185,0)</f>
        <v>0</v>
      </c>
      <c r="AC185" s="28">
        <f>IF(AQ185="1",BI185,0)</f>
        <v>0</v>
      </c>
      <c r="AD185" s="28">
        <f>IF(AQ185="7",BH185,0)</f>
        <v>0</v>
      </c>
      <c r="AE185" s="28">
        <f>IF(AQ185="7",BI185,0)</f>
        <v>0</v>
      </c>
      <c r="AF185" s="28">
        <f>IF(AQ185="2",BH185,0)</f>
        <v>0</v>
      </c>
      <c r="AG185" s="28">
        <f>IF(AQ185="2",BI185,0)</f>
        <v>0</v>
      </c>
      <c r="AH185" s="28">
        <f>IF(AQ185="0",BJ185,0)</f>
        <v>0</v>
      </c>
      <c r="AI185" s="23" t="s">
        <v>515</v>
      </c>
      <c r="AJ185" s="14">
        <f>IF(AN185=0,K185,0)</f>
        <v>0</v>
      </c>
      <c r="AK185" s="14">
        <f>IF(AN185=15,K185,0)</f>
        <v>0</v>
      </c>
      <c r="AL185" s="14">
        <f>IF(AN185=21,K185,0)</f>
        <v>0</v>
      </c>
      <c r="AN185" s="28">
        <v>21</v>
      </c>
      <c r="AO185" s="28">
        <f>H185*0</f>
        <v>0</v>
      </c>
      <c r="AP185" s="28">
        <f>H185*(1-0)</f>
        <v>0</v>
      </c>
      <c r="AQ185" s="24" t="s">
        <v>7</v>
      </c>
      <c r="AV185" s="28">
        <f>AW185+AX185</f>
        <v>0</v>
      </c>
      <c r="AW185" s="28">
        <f>G185*AO185</f>
        <v>0</v>
      </c>
      <c r="AX185" s="28">
        <f>G185*AP185</f>
        <v>0</v>
      </c>
      <c r="AY185" s="29" t="s">
        <v>538</v>
      </c>
      <c r="AZ185" s="29" t="s">
        <v>545</v>
      </c>
      <c r="BA185" s="23" t="s">
        <v>546</v>
      </c>
      <c r="BC185" s="28">
        <f>AW185+AX185</f>
        <v>0</v>
      </c>
      <c r="BD185" s="28">
        <f>H185/(100-BE185)*100</f>
        <v>0</v>
      </c>
      <c r="BE185" s="28">
        <v>0</v>
      </c>
      <c r="BF185" s="28">
        <f>185</f>
        <v>185</v>
      </c>
      <c r="BH185" s="14">
        <f>G185*AO185</f>
        <v>0</v>
      </c>
      <c r="BI185" s="14">
        <f>G185*AP185</f>
        <v>0</v>
      </c>
      <c r="BJ185" s="14">
        <f>G185*H185</f>
        <v>0</v>
      </c>
    </row>
    <row r="186" spans="1:62" x14ac:dyDescent="0.2">
      <c r="A186" s="5" t="s">
        <v>150</v>
      </c>
      <c r="B186" s="5" t="s">
        <v>299</v>
      </c>
      <c r="C186" s="115" t="s">
        <v>477</v>
      </c>
      <c r="D186" s="116"/>
      <c r="E186" s="116"/>
      <c r="F186" s="5" t="s">
        <v>484</v>
      </c>
      <c r="G186" s="62">
        <v>1</v>
      </c>
      <c r="H186" s="15">
        <v>0</v>
      </c>
      <c r="I186" s="15">
        <f>G186*AO186</f>
        <v>0</v>
      </c>
      <c r="J186" s="15">
        <f>G186*AP186</f>
        <v>0</v>
      </c>
      <c r="K186" s="15">
        <f>G186*H186</f>
        <v>0</v>
      </c>
      <c r="L186" s="25" t="s">
        <v>505</v>
      </c>
      <c r="Z186" s="28">
        <f>IF(AQ186="5",BJ186,0)</f>
        <v>0</v>
      </c>
      <c r="AB186" s="28">
        <f>IF(AQ186="1",BH186,0)</f>
        <v>0</v>
      </c>
      <c r="AC186" s="28">
        <f>IF(AQ186="1",BI186,0)</f>
        <v>0</v>
      </c>
      <c r="AD186" s="28">
        <f>IF(AQ186="7",BH186,0)</f>
        <v>0</v>
      </c>
      <c r="AE186" s="28">
        <f>IF(AQ186="7",BI186,0)</f>
        <v>0</v>
      </c>
      <c r="AF186" s="28">
        <f>IF(AQ186="2",BH186,0)</f>
        <v>0</v>
      </c>
      <c r="AG186" s="28">
        <f>IF(AQ186="2",BI186,0)</f>
        <v>0</v>
      </c>
      <c r="AH186" s="28">
        <f>IF(AQ186="0",BJ186,0)</f>
        <v>0</v>
      </c>
      <c r="AI186" s="23" t="s">
        <v>515</v>
      </c>
      <c r="AJ186" s="14">
        <f>IF(AN186=0,K186,0)</f>
        <v>0</v>
      </c>
      <c r="AK186" s="14">
        <f>IF(AN186=15,K186,0)</f>
        <v>0</v>
      </c>
      <c r="AL186" s="14">
        <f>IF(AN186=21,K186,0)</f>
        <v>0</v>
      </c>
      <c r="AN186" s="28">
        <v>21</v>
      </c>
      <c r="AO186" s="28">
        <f>H186*0</f>
        <v>0</v>
      </c>
      <c r="AP186" s="28">
        <f>H186*(1-0)</f>
        <v>0</v>
      </c>
      <c r="AQ186" s="24" t="s">
        <v>7</v>
      </c>
      <c r="AV186" s="28">
        <f>AW186+AX186</f>
        <v>0</v>
      </c>
      <c r="AW186" s="28">
        <f>G186*AO186</f>
        <v>0</v>
      </c>
      <c r="AX186" s="28">
        <f>G186*AP186</f>
        <v>0</v>
      </c>
      <c r="AY186" s="29" t="s">
        <v>538</v>
      </c>
      <c r="AZ186" s="29" t="s">
        <v>545</v>
      </c>
      <c r="BA186" s="23" t="s">
        <v>546</v>
      </c>
      <c r="BC186" s="28">
        <f>AW186+AX186</f>
        <v>0</v>
      </c>
      <c r="BD186" s="28">
        <f>H186/(100-BE186)*100</f>
        <v>0</v>
      </c>
      <c r="BE186" s="28">
        <v>0</v>
      </c>
      <c r="BF186" s="28">
        <f>186</f>
        <v>186</v>
      </c>
      <c r="BH186" s="14">
        <f>G186*AO186</f>
        <v>0</v>
      </c>
      <c r="BI186" s="14">
        <f>G186*AP186</f>
        <v>0</v>
      </c>
      <c r="BJ186" s="14">
        <f>G186*H186</f>
        <v>0</v>
      </c>
    </row>
    <row r="187" spans="1:62" x14ac:dyDescent="0.2">
      <c r="A187" s="6"/>
      <c r="B187" s="6"/>
      <c r="C187" s="6"/>
      <c r="D187" s="6"/>
      <c r="E187" s="6"/>
      <c r="F187" s="6"/>
      <c r="G187" s="6"/>
      <c r="H187" s="6"/>
      <c r="I187" s="117" t="s">
        <v>500</v>
      </c>
      <c r="J187" s="100"/>
      <c r="K187" s="31">
        <f>K13+K22+K25+K30+K33+K37+K39+K42+K44+K106+K113+K115+K117+K140+K143+K145+K147+K151+K162+K164+K174+K178+K182</f>
        <v>0</v>
      </c>
      <c r="L187" s="6"/>
    </row>
    <row r="188" spans="1:62" ht="11.25" customHeight="1" x14ac:dyDescent="0.2">
      <c r="A188" s="7"/>
    </row>
    <row r="189" spans="1:62" x14ac:dyDescent="0.2">
      <c r="A189" s="67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</row>
  </sheetData>
  <mergeCells count="205">
    <mergeCell ref="A4:B5"/>
    <mergeCell ref="C4:C5"/>
    <mergeCell ref="D4:E5"/>
    <mergeCell ref="F4:G5"/>
    <mergeCell ref="H4:H5"/>
    <mergeCell ref="I4:L5"/>
    <mergeCell ref="A1:L1"/>
    <mergeCell ref="A2:B3"/>
    <mergeCell ref="C2:C3"/>
    <mergeCell ref="D2:E3"/>
    <mergeCell ref="F2:G3"/>
    <mergeCell ref="H2:H3"/>
    <mergeCell ref="I2:L3"/>
    <mergeCell ref="A8:B9"/>
    <mergeCell ref="C8:C9"/>
    <mergeCell ref="D8:E9"/>
    <mergeCell ref="F8:G9"/>
    <mergeCell ref="H8:H9"/>
    <mergeCell ref="I8:L9"/>
    <mergeCell ref="A6:B7"/>
    <mergeCell ref="C6:C7"/>
    <mergeCell ref="D6:E7"/>
    <mergeCell ref="F6:G7"/>
    <mergeCell ref="H6:H7"/>
    <mergeCell ref="I6:L7"/>
    <mergeCell ref="C15:E15"/>
    <mergeCell ref="C16:E16"/>
    <mergeCell ref="C17:E17"/>
    <mergeCell ref="C18:E18"/>
    <mergeCell ref="C19:E19"/>
    <mergeCell ref="C20:E20"/>
    <mergeCell ref="C10:E10"/>
    <mergeCell ref="I10:K10"/>
    <mergeCell ref="C11:E11"/>
    <mergeCell ref="C12:E12"/>
    <mergeCell ref="C13:E13"/>
    <mergeCell ref="C14:E14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  <mergeCell ref="C26:E26"/>
    <mergeCell ref="C39:E39"/>
    <mergeCell ref="C40:E40"/>
    <mergeCell ref="C41:E41"/>
    <mergeCell ref="C42:E42"/>
    <mergeCell ref="C43:E43"/>
    <mergeCell ref="C44:E44"/>
    <mergeCell ref="C33:E33"/>
    <mergeCell ref="C34:E34"/>
    <mergeCell ref="C35:E35"/>
    <mergeCell ref="C36:E36"/>
    <mergeCell ref="C37:E37"/>
    <mergeCell ref="C38:E38"/>
    <mergeCell ref="C51:E51"/>
    <mergeCell ref="C52:E52"/>
    <mergeCell ref="C53:E53"/>
    <mergeCell ref="C54:E54"/>
    <mergeCell ref="C55:E55"/>
    <mergeCell ref="C56:E56"/>
    <mergeCell ref="C45:E45"/>
    <mergeCell ref="C46:E46"/>
    <mergeCell ref="C47:E47"/>
    <mergeCell ref="C48:E48"/>
    <mergeCell ref="C49:E49"/>
    <mergeCell ref="C50:E50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75:L75"/>
    <mergeCell ref="C76:E76"/>
    <mergeCell ref="C77:E77"/>
    <mergeCell ref="C78:E78"/>
    <mergeCell ref="C79:E79"/>
    <mergeCell ref="C80:E80"/>
    <mergeCell ref="C69:E69"/>
    <mergeCell ref="C70:E70"/>
    <mergeCell ref="C71:E71"/>
    <mergeCell ref="C72:E72"/>
    <mergeCell ref="C73:E73"/>
    <mergeCell ref="C74:E74"/>
    <mergeCell ref="C87:E87"/>
    <mergeCell ref="C88:E88"/>
    <mergeCell ref="C89:E89"/>
    <mergeCell ref="C90:E90"/>
    <mergeCell ref="C91:E91"/>
    <mergeCell ref="C92:E92"/>
    <mergeCell ref="C81:E81"/>
    <mergeCell ref="C82:E82"/>
    <mergeCell ref="C83:E83"/>
    <mergeCell ref="C84:E84"/>
    <mergeCell ref="C85:E85"/>
    <mergeCell ref="C86:E86"/>
    <mergeCell ref="C99:E99"/>
    <mergeCell ref="C100:L100"/>
    <mergeCell ref="C101:E101"/>
    <mergeCell ref="C102:E102"/>
    <mergeCell ref="C103:L103"/>
    <mergeCell ref="C104:E104"/>
    <mergeCell ref="C93:E93"/>
    <mergeCell ref="C94:E94"/>
    <mergeCell ref="C95:E95"/>
    <mergeCell ref="C96:L96"/>
    <mergeCell ref="C97:E97"/>
    <mergeCell ref="C98:E98"/>
    <mergeCell ref="C111:E111"/>
    <mergeCell ref="C112:E112"/>
    <mergeCell ref="C113:E113"/>
    <mergeCell ref="C114:E114"/>
    <mergeCell ref="C115:E115"/>
    <mergeCell ref="C116:E116"/>
    <mergeCell ref="C105:L105"/>
    <mergeCell ref="C106:E106"/>
    <mergeCell ref="C107:E107"/>
    <mergeCell ref="C108:E108"/>
    <mergeCell ref="C109:E109"/>
    <mergeCell ref="C110:E110"/>
    <mergeCell ref="C123:E123"/>
    <mergeCell ref="C124:E124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C121:E121"/>
    <mergeCell ref="C122:E122"/>
    <mergeCell ref="C135:E135"/>
    <mergeCell ref="C136:E136"/>
    <mergeCell ref="C137:E137"/>
    <mergeCell ref="C138:E138"/>
    <mergeCell ref="C139:E139"/>
    <mergeCell ref="C140:E140"/>
    <mergeCell ref="C129:E129"/>
    <mergeCell ref="C130:E130"/>
    <mergeCell ref="C131:E131"/>
    <mergeCell ref="C132:E132"/>
    <mergeCell ref="C133:E133"/>
    <mergeCell ref="C134:E134"/>
    <mergeCell ref="C147:E147"/>
    <mergeCell ref="C148:E148"/>
    <mergeCell ref="C149:E149"/>
    <mergeCell ref="C150:E150"/>
    <mergeCell ref="C151:E151"/>
    <mergeCell ref="C152:E152"/>
    <mergeCell ref="C141:E141"/>
    <mergeCell ref="C142:E142"/>
    <mergeCell ref="C143:E143"/>
    <mergeCell ref="C144:E144"/>
    <mergeCell ref="C145:E145"/>
    <mergeCell ref="C146:E146"/>
    <mergeCell ref="C159:E159"/>
    <mergeCell ref="C160:E160"/>
    <mergeCell ref="C161:E161"/>
    <mergeCell ref="C162:E162"/>
    <mergeCell ref="C163:E163"/>
    <mergeCell ref="C164:E164"/>
    <mergeCell ref="C153:E153"/>
    <mergeCell ref="C154:E154"/>
    <mergeCell ref="C155:E155"/>
    <mergeCell ref="C156:E156"/>
    <mergeCell ref="C157:E157"/>
    <mergeCell ref="C158:E158"/>
    <mergeCell ref="C171:E171"/>
    <mergeCell ref="C172:E172"/>
    <mergeCell ref="C173:E173"/>
    <mergeCell ref="C174:E174"/>
    <mergeCell ref="C175:E175"/>
    <mergeCell ref="C176:E176"/>
    <mergeCell ref="C165:E165"/>
    <mergeCell ref="C166:E166"/>
    <mergeCell ref="C167:E167"/>
    <mergeCell ref="C168:E168"/>
    <mergeCell ref="C169:E169"/>
    <mergeCell ref="C170:E170"/>
    <mergeCell ref="C183:E183"/>
    <mergeCell ref="C184:E184"/>
    <mergeCell ref="C185:E185"/>
    <mergeCell ref="C186:E186"/>
    <mergeCell ref="I187:J187"/>
    <mergeCell ref="A189:L189"/>
    <mergeCell ref="C177:L177"/>
    <mergeCell ref="C178:E178"/>
    <mergeCell ref="C179:E179"/>
    <mergeCell ref="C180:E180"/>
    <mergeCell ref="C181:L181"/>
    <mergeCell ref="C182:E182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8"/>
  <sheetViews>
    <sheetView workbookViewId="0">
      <pane ySplit="10" topLeftCell="A326" activePane="bottomLeft" state="frozenSplit"/>
      <selection pane="bottomLeft" activeCell="A337" sqref="A337"/>
    </sheetView>
  </sheetViews>
  <sheetFormatPr defaultColWidth="11.5703125" defaultRowHeight="12.75" x14ac:dyDescent="0.2"/>
  <cols>
    <col min="1" max="2" width="9.140625" customWidth="1"/>
    <col min="3" max="3" width="13.28515625" customWidth="1"/>
    <col min="4" max="4" width="112.28515625" customWidth="1"/>
    <col min="5" max="5" width="14.5703125" customWidth="1"/>
    <col min="6" max="6" width="7.42578125" customWidth="1"/>
    <col min="7" max="7" width="12.7109375" customWidth="1"/>
    <col min="8" max="8" width="18.140625" hidden="1" customWidth="1"/>
  </cols>
  <sheetData>
    <row r="1" spans="1:9" ht="72.95" customHeight="1" x14ac:dyDescent="0.35">
      <c r="A1" s="111" t="s">
        <v>558</v>
      </c>
      <c r="B1" s="96"/>
      <c r="C1" s="96"/>
      <c r="D1" s="96"/>
      <c r="E1" s="96"/>
      <c r="F1" s="96"/>
      <c r="G1" s="96"/>
      <c r="H1" s="96"/>
    </row>
    <row r="2" spans="1:9" x14ac:dyDescent="0.2">
      <c r="A2" s="97" t="s">
        <v>1</v>
      </c>
      <c r="B2" s="98"/>
      <c r="C2" s="99" t="str">
        <f>'Stavební rozpočet'!C2</f>
        <v>"Demoliční práce - budova starého ředitelství v areálu MMN, a.s. v Semilech"</v>
      </c>
      <c r="D2" s="100"/>
      <c r="E2" s="102" t="s">
        <v>491</v>
      </c>
      <c r="F2" s="102" t="str">
        <f>'Stavební rozpočet'!I2</f>
        <v> </v>
      </c>
      <c r="G2" s="98"/>
      <c r="H2" s="112"/>
      <c r="I2" s="26"/>
    </row>
    <row r="3" spans="1:9" x14ac:dyDescent="0.2">
      <c r="A3" s="92"/>
      <c r="B3" s="68"/>
      <c r="C3" s="101"/>
      <c r="D3" s="101"/>
      <c r="E3" s="68"/>
      <c r="F3" s="68"/>
      <c r="G3" s="68"/>
      <c r="H3" s="94"/>
      <c r="I3" s="26"/>
    </row>
    <row r="4" spans="1:9" x14ac:dyDescent="0.2">
      <c r="A4" s="86" t="s">
        <v>2</v>
      </c>
      <c r="B4" s="68"/>
      <c r="C4" s="67" t="str">
        <f>'Stavební rozpočet'!C4</f>
        <v xml:space="preserve"> </v>
      </c>
      <c r="D4" s="68"/>
      <c r="E4" s="67" t="s">
        <v>492</v>
      </c>
      <c r="F4" s="67" t="str">
        <f>'Stavební rozpočet'!I4</f>
        <v> </v>
      </c>
      <c r="G4" s="68"/>
      <c r="H4" s="94"/>
      <c r="I4" s="26"/>
    </row>
    <row r="5" spans="1:9" x14ac:dyDescent="0.2">
      <c r="A5" s="92"/>
      <c r="B5" s="68"/>
      <c r="C5" s="68"/>
      <c r="D5" s="68"/>
      <c r="E5" s="68"/>
      <c r="F5" s="68"/>
      <c r="G5" s="68"/>
      <c r="H5" s="94"/>
      <c r="I5" s="26"/>
    </row>
    <row r="6" spans="1:9" x14ac:dyDescent="0.2">
      <c r="A6" s="86" t="s">
        <v>3</v>
      </c>
      <c r="B6" s="68"/>
      <c r="C6" s="67" t="str">
        <f>'Stavební rozpočet'!C6</f>
        <v>Pavilon F (bez č.p.) - nemocnice Semily, 3.května č.p.421, 513 01 Semily</v>
      </c>
      <c r="D6" s="68"/>
      <c r="E6" s="67" t="s">
        <v>493</v>
      </c>
      <c r="F6" s="67" t="str">
        <f>'Stavební rozpočet'!I6</f>
        <v> </v>
      </c>
      <c r="G6" s="68"/>
      <c r="H6" s="94"/>
      <c r="I6" s="26"/>
    </row>
    <row r="7" spans="1:9" x14ac:dyDescent="0.2">
      <c r="A7" s="92"/>
      <c r="B7" s="68"/>
      <c r="C7" s="68"/>
      <c r="D7" s="68"/>
      <c r="E7" s="68"/>
      <c r="F7" s="68"/>
      <c r="G7" s="68"/>
      <c r="H7" s="94"/>
      <c r="I7" s="26"/>
    </row>
    <row r="8" spans="1:9" x14ac:dyDescent="0.2">
      <c r="A8" s="86" t="s">
        <v>494</v>
      </c>
      <c r="B8" s="68"/>
      <c r="C8" s="67" t="str">
        <f>'Stavební rozpočet'!I8</f>
        <v> </v>
      </c>
      <c r="D8" s="68"/>
      <c r="E8" s="67" t="s">
        <v>481</v>
      </c>
      <c r="F8" s="67"/>
      <c r="G8" s="68"/>
      <c r="H8" s="94"/>
      <c r="I8" s="26"/>
    </row>
    <row r="9" spans="1:9" x14ac:dyDescent="0.2">
      <c r="A9" s="108"/>
      <c r="B9" s="109"/>
      <c r="C9" s="109"/>
      <c r="D9" s="109"/>
      <c r="E9" s="109"/>
      <c r="F9" s="109"/>
      <c r="G9" s="109"/>
      <c r="H9" s="110"/>
      <c r="I9" s="26"/>
    </row>
    <row r="10" spans="1:9" x14ac:dyDescent="0.2">
      <c r="A10" s="34" t="s">
        <v>5</v>
      </c>
      <c r="B10" s="40" t="s">
        <v>551</v>
      </c>
      <c r="C10" s="40" t="s">
        <v>151</v>
      </c>
      <c r="D10" s="104" t="s">
        <v>301</v>
      </c>
      <c r="E10" s="105"/>
      <c r="F10" s="40" t="s">
        <v>482</v>
      </c>
      <c r="G10" s="41" t="s">
        <v>490</v>
      </c>
      <c r="H10" s="32" t="s">
        <v>693</v>
      </c>
      <c r="I10" s="27"/>
    </row>
    <row r="11" spans="1:9" x14ac:dyDescent="0.2">
      <c r="A11" s="39"/>
      <c r="B11" s="39"/>
      <c r="C11" s="39" t="s">
        <v>17</v>
      </c>
      <c r="D11" s="136" t="s">
        <v>304</v>
      </c>
      <c r="E11" s="137"/>
      <c r="F11" s="39"/>
      <c r="G11" s="58"/>
      <c r="H11" s="42"/>
    </row>
    <row r="12" spans="1:9" x14ac:dyDescent="0.2">
      <c r="A12" s="4" t="s">
        <v>7</v>
      </c>
      <c r="B12" s="4" t="s">
        <v>515</v>
      </c>
      <c r="C12" s="4" t="s">
        <v>152</v>
      </c>
      <c r="D12" s="113" t="s">
        <v>305</v>
      </c>
      <c r="E12" s="114"/>
      <c r="F12" s="4" t="s">
        <v>483</v>
      </c>
      <c r="G12" s="59">
        <v>4</v>
      </c>
      <c r="H12" s="14">
        <v>0</v>
      </c>
    </row>
    <row r="13" spans="1:9" x14ac:dyDescent="0.2">
      <c r="A13" s="4" t="s">
        <v>8</v>
      </c>
      <c r="B13" s="4" t="s">
        <v>515</v>
      </c>
      <c r="C13" s="4" t="s">
        <v>153</v>
      </c>
      <c r="D13" s="113" t="s">
        <v>306</v>
      </c>
      <c r="E13" s="114"/>
      <c r="F13" s="4" t="s">
        <v>483</v>
      </c>
      <c r="G13" s="59">
        <v>4</v>
      </c>
      <c r="H13" s="14">
        <v>0</v>
      </c>
    </row>
    <row r="14" spans="1:9" x14ac:dyDescent="0.2">
      <c r="A14" s="4" t="s">
        <v>9</v>
      </c>
      <c r="B14" s="4" t="s">
        <v>515</v>
      </c>
      <c r="C14" s="4" t="s">
        <v>154</v>
      </c>
      <c r="D14" s="113" t="s">
        <v>307</v>
      </c>
      <c r="E14" s="114"/>
      <c r="F14" s="4" t="s">
        <v>484</v>
      </c>
      <c r="G14" s="59">
        <v>1</v>
      </c>
      <c r="H14" s="14">
        <v>0</v>
      </c>
    </row>
    <row r="15" spans="1:9" x14ac:dyDescent="0.2">
      <c r="A15" s="4" t="s">
        <v>10</v>
      </c>
      <c r="B15" s="4" t="s">
        <v>515</v>
      </c>
      <c r="C15" s="4" t="s">
        <v>155</v>
      </c>
      <c r="D15" s="113" t="s">
        <v>308</v>
      </c>
      <c r="E15" s="114"/>
      <c r="F15" s="4" t="s">
        <v>483</v>
      </c>
      <c r="G15" s="59">
        <v>10</v>
      </c>
      <c r="H15" s="14">
        <v>0</v>
      </c>
    </row>
    <row r="16" spans="1:9" ht="12.2" customHeight="1" x14ac:dyDescent="0.2">
      <c r="D16" s="134" t="s">
        <v>559</v>
      </c>
      <c r="E16" s="135"/>
      <c r="F16" s="135"/>
      <c r="G16" s="43">
        <v>10</v>
      </c>
    </row>
    <row r="17" spans="1:8" x14ac:dyDescent="0.2">
      <c r="A17" s="4" t="s">
        <v>11</v>
      </c>
      <c r="B17" s="4" t="s">
        <v>515</v>
      </c>
      <c r="C17" s="4" t="s">
        <v>156</v>
      </c>
      <c r="D17" s="113" t="s">
        <v>309</v>
      </c>
      <c r="E17" s="114"/>
      <c r="F17" s="4" t="s">
        <v>485</v>
      </c>
      <c r="G17" s="59">
        <v>110</v>
      </c>
      <c r="H17" s="14">
        <v>0</v>
      </c>
    </row>
    <row r="18" spans="1:8" ht="12.2" customHeight="1" x14ac:dyDescent="0.2">
      <c r="D18" s="134" t="s">
        <v>560</v>
      </c>
      <c r="E18" s="135"/>
      <c r="F18" s="135"/>
      <c r="G18" s="43">
        <v>110</v>
      </c>
    </row>
    <row r="19" spans="1:8" x14ac:dyDescent="0.2">
      <c r="A19" s="4" t="s">
        <v>12</v>
      </c>
      <c r="B19" s="4" t="s">
        <v>515</v>
      </c>
      <c r="C19" s="4" t="s">
        <v>157</v>
      </c>
      <c r="D19" s="113" t="s">
        <v>310</v>
      </c>
      <c r="E19" s="114"/>
      <c r="F19" s="4" t="s">
        <v>486</v>
      </c>
      <c r="G19" s="59">
        <v>45</v>
      </c>
      <c r="H19" s="14">
        <v>0</v>
      </c>
    </row>
    <row r="20" spans="1:8" ht="12.2" customHeight="1" x14ac:dyDescent="0.2">
      <c r="D20" s="134" t="s">
        <v>561</v>
      </c>
      <c r="E20" s="135"/>
      <c r="F20" s="135"/>
      <c r="G20" s="43">
        <v>45</v>
      </c>
    </row>
    <row r="21" spans="1:8" x14ac:dyDescent="0.2">
      <c r="A21" s="4" t="s">
        <v>13</v>
      </c>
      <c r="B21" s="4" t="s">
        <v>515</v>
      </c>
      <c r="C21" s="4" t="s">
        <v>158</v>
      </c>
      <c r="D21" s="113" t="s">
        <v>311</v>
      </c>
      <c r="E21" s="114"/>
      <c r="F21" s="4" t="s">
        <v>486</v>
      </c>
      <c r="G21" s="59">
        <v>353.45600000000002</v>
      </c>
      <c r="H21" s="14">
        <v>0</v>
      </c>
    </row>
    <row r="22" spans="1:8" ht="12.2" customHeight="1" x14ac:dyDescent="0.2">
      <c r="D22" s="134" t="s">
        <v>562</v>
      </c>
      <c r="E22" s="135"/>
      <c r="F22" s="135"/>
      <c r="G22" s="43">
        <v>257.73500000000001</v>
      </c>
    </row>
    <row r="23" spans="1:8" ht="12.2" customHeight="1" x14ac:dyDescent="0.2">
      <c r="A23" s="4"/>
      <c r="B23" s="4"/>
      <c r="C23" s="4"/>
      <c r="D23" s="134" t="s">
        <v>563</v>
      </c>
      <c r="E23" s="135"/>
      <c r="F23" s="134"/>
      <c r="G23" s="60">
        <v>95.721000000000004</v>
      </c>
      <c r="H23" s="24"/>
    </row>
    <row r="24" spans="1:8" x14ac:dyDescent="0.2">
      <c r="A24" s="4" t="s">
        <v>14</v>
      </c>
      <c r="B24" s="4" t="s">
        <v>515</v>
      </c>
      <c r="C24" s="4" t="s">
        <v>159</v>
      </c>
      <c r="D24" s="113" t="s">
        <v>312</v>
      </c>
      <c r="E24" s="114"/>
      <c r="F24" s="4" t="s">
        <v>486</v>
      </c>
      <c r="G24" s="59">
        <v>5</v>
      </c>
      <c r="H24" s="14">
        <v>0</v>
      </c>
    </row>
    <row r="25" spans="1:8" ht="12.2" customHeight="1" x14ac:dyDescent="0.2">
      <c r="D25" s="134" t="s">
        <v>564</v>
      </c>
      <c r="E25" s="135"/>
      <c r="F25" s="135"/>
      <c r="G25" s="43">
        <v>5</v>
      </c>
    </row>
    <row r="26" spans="1:8" x14ac:dyDescent="0.2">
      <c r="A26" s="10"/>
      <c r="B26" s="10"/>
      <c r="C26" s="10" t="s">
        <v>19</v>
      </c>
      <c r="D26" s="120" t="s">
        <v>313</v>
      </c>
      <c r="E26" s="121"/>
      <c r="F26" s="10"/>
      <c r="G26" s="61"/>
      <c r="H26" s="23"/>
    </row>
    <row r="27" spans="1:8" x14ac:dyDescent="0.2">
      <c r="A27" s="4" t="s">
        <v>15</v>
      </c>
      <c r="B27" s="4" t="s">
        <v>515</v>
      </c>
      <c r="C27" s="4" t="s">
        <v>160</v>
      </c>
      <c r="D27" s="113" t="s">
        <v>314</v>
      </c>
      <c r="E27" s="114"/>
      <c r="F27" s="4" t="s">
        <v>487</v>
      </c>
      <c r="G27" s="59">
        <v>192.85599999999999</v>
      </c>
      <c r="H27" s="14">
        <v>0</v>
      </c>
    </row>
    <row r="28" spans="1:8" ht="12.2" customHeight="1" x14ac:dyDescent="0.2">
      <c r="D28" s="134" t="s">
        <v>565</v>
      </c>
      <c r="E28" s="135"/>
      <c r="F28" s="135"/>
      <c r="G28" s="43">
        <v>80.584000000000003</v>
      </c>
    </row>
    <row r="29" spans="1:8" ht="12.2" customHeight="1" x14ac:dyDescent="0.2">
      <c r="A29" s="4"/>
      <c r="B29" s="4"/>
      <c r="C29" s="4"/>
      <c r="D29" s="134" t="s">
        <v>566</v>
      </c>
      <c r="E29" s="135"/>
      <c r="F29" s="134"/>
      <c r="G29" s="60">
        <v>67.872</v>
      </c>
      <c r="H29" s="24"/>
    </row>
    <row r="30" spans="1:8" ht="12.2" customHeight="1" x14ac:dyDescent="0.2">
      <c r="A30" s="4"/>
      <c r="B30" s="4"/>
      <c r="C30" s="4"/>
      <c r="D30" s="134" t="s">
        <v>567</v>
      </c>
      <c r="E30" s="135"/>
      <c r="F30" s="134"/>
      <c r="G30" s="60">
        <v>33.322000000000003</v>
      </c>
      <c r="H30" s="24"/>
    </row>
    <row r="31" spans="1:8" ht="12.2" customHeight="1" x14ac:dyDescent="0.2">
      <c r="A31" s="4"/>
      <c r="B31" s="4"/>
      <c r="C31" s="4"/>
      <c r="D31" s="134" t="s">
        <v>568</v>
      </c>
      <c r="E31" s="135"/>
      <c r="F31" s="134"/>
      <c r="G31" s="60">
        <v>11.077999999999999</v>
      </c>
      <c r="H31" s="24"/>
    </row>
    <row r="32" spans="1:8" x14ac:dyDescent="0.2">
      <c r="A32" s="4" t="s">
        <v>16</v>
      </c>
      <c r="B32" s="4" t="s">
        <v>515</v>
      </c>
      <c r="C32" s="4" t="s">
        <v>161</v>
      </c>
      <c r="D32" s="113" t="s">
        <v>315</v>
      </c>
      <c r="E32" s="114"/>
      <c r="F32" s="4" t="s">
        <v>487</v>
      </c>
      <c r="G32" s="59">
        <v>192.85599999999999</v>
      </c>
      <c r="H32" s="14">
        <v>0</v>
      </c>
    </row>
    <row r="33" spans="1:8" ht="12.2" customHeight="1" x14ac:dyDescent="0.2">
      <c r="D33" s="134" t="s">
        <v>569</v>
      </c>
      <c r="E33" s="135"/>
      <c r="F33" s="135"/>
      <c r="G33" s="43">
        <v>192.85599999999999</v>
      </c>
    </row>
    <row r="34" spans="1:8" x14ac:dyDescent="0.2">
      <c r="A34" s="10"/>
      <c r="B34" s="10"/>
      <c r="C34" s="10" t="s">
        <v>22</v>
      </c>
      <c r="D34" s="120" t="s">
        <v>316</v>
      </c>
      <c r="E34" s="121"/>
      <c r="F34" s="10"/>
      <c r="G34" s="61"/>
      <c r="H34" s="23"/>
    </row>
    <row r="35" spans="1:8" x14ac:dyDescent="0.2">
      <c r="A35" s="4" t="s">
        <v>17</v>
      </c>
      <c r="B35" s="4" t="s">
        <v>515</v>
      </c>
      <c r="C35" s="4" t="s">
        <v>162</v>
      </c>
      <c r="D35" s="113" t="s">
        <v>317</v>
      </c>
      <c r="E35" s="114"/>
      <c r="F35" s="4" t="s">
        <v>487</v>
      </c>
      <c r="G35" s="59">
        <v>290.20299999999997</v>
      </c>
      <c r="H35" s="14">
        <v>0</v>
      </c>
    </row>
    <row r="36" spans="1:8" ht="12.2" customHeight="1" x14ac:dyDescent="0.2">
      <c r="D36" s="134" t="s">
        <v>570</v>
      </c>
      <c r="E36" s="135"/>
      <c r="F36" s="135"/>
      <c r="G36" s="43">
        <v>290.20299999999997</v>
      </c>
    </row>
    <row r="37" spans="1:8" x14ac:dyDescent="0.2">
      <c r="A37" s="4" t="s">
        <v>18</v>
      </c>
      <c r="B37" s="4" t="s">
        <v>515</v>
      </c>
      <c r="C37" s="4" t="s">
        <v>162</v>
      </c>
      <c r="D37" s="113" t="s">
        <v>318</v>
      </c>
      <c r="E37" s="114"/>
      <c r="F37" s="4" t="s">
        <v>487</v>
      </c>
      <c r="G37" s="59">
        <v>290.20299999999997</v>
      </c>
      <c r="H37" s="14">
        <v>0</v>
      </c>
    </row>
    <row r="38" spans="1:8" ht="12.2" customHeight="1" x14ac:dyDescent="0.2">
      <c r="D38" s="134" t="s">
        <v>570</v>
      </c>
      <c r="E38" s="135"/>
      <c r="F38" s="135"/>
      <c r="G38" s="43">
        <v>290.20299999999997</v>
      </c>
    </row>
    <row r="39" spans="1:8" x14ac:dyDescent="0.2">
      <c r="A39" s="4" t="s">
        <v>19</v>
      </c>
      <c r="B39" s="4" t="s">
        <v>515</v>
      </c>
      <c r="C39" s="4" t="s">
        <v>163</v>
      </c>
      <c r="D39" s="113" t="s">
        <v>319</v>
      </c>
      <c r="E39" s="114"/>
      <c r="F39" s="4" t="s">
        <v>487</v>
      </c>
      <c r="G39" s="59">
        <v>290.20299999999997</v>
      </c>
      <c r="H39" s="14">
        <v>0</v>
      </c>
    </row>
    <row r="40" spans="1:8" ht="12.2" customHeight="1" x14ac:dyDescent="0.2">
      <c r="D40" s="134" t="s">
        <v>570</v>
      </c>
      <c r="E40" s="135"/>
      <c r="F40" s="135"/>
      <c r="G40" s="43">
        <v>290.20299999999997</v>
      </c>
    </row>
    <row r="41" spans="1:8" x14ac:dyDescent="0.2">
      <c r="A41" s="4" t="s">
        <v>20</v>
      </c>
      <c r="B41" s="4" t="s">
        <v>515</v>
      </c>
      <c r="C41" s="4" t="s">
        <v>163</v>
      </c>
      <c r="D41" s="113" t="s">
        <v>320</v>
      </c>
      <c r="E41" s="114"/>
      <c r="F41" s="4" t="s">
        <v>487</v>
      </c>
      <c r="G41" s="59">
        <v>290.20299999999997</v>
      </c>
      <c r="H41" s="14">
        <v>0</v>
      </c>
    </row>
    <row r="42" spans="1:8" ht="12.2" customHeight="1" x14ac:dyDescent="0.2">
      <c r="D42" s="134" t="s">
        <v>570</v>
      </c>
      <c r="E42" s="135"/>
      <c r="F42" s="135"/>
      <c r="G42" s="43">
        <v>290.20299999999997</v>
      </c>
    </row>
    <row r="43" spans="1:8" x14ac:dyDescent="0.2">
      <c r="A43" s="10"/>
      <c r="B43" s="10"/>
      <c r="C43" s="10" t="s">
        <v>23</v>
      </c>
      <c r="D43" s="120" t="s">
        <v>321</v>
      </c>
      <c r="E43" s="121"/>
      <c r="F43" s="10"/>
      <c r="G43" s="61"/>
      <c r="H43" s="23"/>
    </row>
    <row r="44" spans="1:8" x14ac:dyDescent="0.2">
      <c r="A44" s="4" t="s">
        <v>21</v>
      </c>
      <c r="B44" s="4" t="s">
        <v>515</v>
      </c>
      <c r="C44" s="4" t="s">
        <v>164</v>
      </c>
      <c r="D44" s="113" t="s">
        <v>322</v>
      </c>
      <c r="E44" s="114"/>
      <c r="F44" s="4" t="s">
        <v>487</v>
      </c>
      <c r="G44" s="59">
        <v>290.20299999999997</v>
      </c>
      <c r="H44" s="14">
        <v>0</v>
      </c>
    </row>
    <row r="45" spans="1:8" ht="12.2" customHeight="1" x14ac:dyDescent="0.2">
      <c r="D45" s="134" t="s">
        <v>570</v>
      </c>
      <c r="E45" s="135"/>
      <c r="F45" s="135"/>
      <c r="G45" s="43">
        <v>290.20299999999997</v>
      </c>
    </row>
    <row r="46" spans="1:8" x14ac:dyDescent="0.2">
      <c r="A46" s="4" t="s">
        <v>22</v>
      </c>
      <c r="B46" s="4" t="s">
        <v>515</v>
      </c>
      <c r="C46" s="4" t="s">
        <v>165</v>
      </c>
      <c r="D46" s="113" t="s">
        <v>323</v>
      </c>
      <c r="E46" s="114"/>
      <c r="F46" s="4" t="s">
        <v>487</v>
      </c>
      <c r="G46" s="59">
        <v>290.20299999999997</v>
      </c>
      <c r="H46" s="14">
        <v>0</v>
      </c>
    </row>
    <row r="47" spans="1:8" ht="12.2" customHeight="1" x14ac:dyDescent="0.2">
      <c r="D47" s="134" t="s">
        <v>570</v>
      </c>
      <c r="E47" s="135"/>
      <c r="F47" s="135"/>
      <c r="G47" s="43">
        <v>290.20299999999997</v>
      </c>
    </row>
    <row r="48" spans="1:8" x14ac:dyDescent="0.2">
      <c r="A48" s="10"/>
      <c r="B48" s="10"/>
      <c r="C48" s="10" t="s">
        <v>24</v>
      </c>
      <c r="D48" s="120" t="s">
        <v>324</v>
      </c>
      <c r="E48" s="121"/>
      <c r="F48" s="10"/>
      <c r="G48" s="61"/>
      <c r="H48" s="23"/>
    </row>
    <row r="49" spans="1:8" x14ac:dyDescent="0.2">
      <c r="A49" s="4" t="s">
        <v>23</v>
      </c>
      <c r="B49" s="4" t="s">
        <v>515</v>
      </c>
      <c r="C49" s="4" t="s">
        <v>166</v>
      </c>
      <c r="D49" s="113" t="s">
        <v>325</v>
      </c>
      <c r="E49" s="114"/>
      <c r="F49" s="4" t="s">
        <v>486</v>
      </c>
      <c r="G49" s="59">
        <v>50</v>
      </c>
      <c r="H49" s="14">
        <v>0</v>
      </c>
    </row>
    <row r="50" spans="1:8" ht="12.2" customHeight="1" x14ac:dyDescent="0.2">
      <c r="D50" s="134" t="s">
        <v>571</v>
      </c>
      <c r="E50" s="135"/>
      <c r="F50" s="135"/>
      <c r="G50" s="43">
        <v>50</v>
      </c>
    </row>
    <row r="51" spans="1:8" x14ac:dyDescent="0.2">
      <c r="A51" s="4" t="s">
        <v>24</v>
      </c>
      <c r="B51" s="4" t="s">
        <v>515</v>
      </c>
      <c r="C51" s="4" t="s">
        <v>167</v>
      </c>
      <c r="D51" s="113" t="s">
        <v>326</v>
      </c>
      <c r="E51" s="114"/>
      <c r="F51" s="4" t="s">
        <v>486</v>
      </c>
      <c r="G51" s="59">
        <v>50</v>
      </c>
      <c r="H51" s="14">
        <v>0</v>
      </c>
    </row>
    <row r="52" spans="1:8" ht="12.2" customHeight="1" x14ac:dyDescent="0.2">
      <c r="D52" s="134" t="s">
        <v>571</v>
      </c>
      <c r="E52" s="135"/>
      <c r="F52" s="135"/>
      <c r="G52" s="43">
        <v>50</v>
      </c>
    </row>
    <row r="53" spans="1:8" x14ac:dyDescent="0.2">
      <c r="A53" s="4" t="s">
        <v>25</v>
      </c>
      <c r="B53" s="4" t="s">
        <v>515</v>
      </c>
      <c r="C53" s="4" t="s">
        <v>168</v>
      </c>
      <c r="D53" s="113" t="s">
        <v>327</v>
      </c>
      <c r="E53" s="114"/>
      <c r="F53" s="4" t="s">
        <v>486</v>
      </c>
      <c r="G53" s="59">
        <v>30</v>
      </c>
      <c r="H53" s="14">
        <v>0</v>
      </c>
    </row>
    <row r="54" spans="1:8" ht="12.2" customHeight="1" x14ac:dyDescent="0.2">
      <c r="D54" s="134" t="s">
        <v>572</v>
      </c>
      <c r="E54" s="135"/>
      <c r="F54" s="135"/>
      <c r="G54" s="43">
        <v>30</v>
      </c>
    </row>
    <row r="55" spans="1:8" x14ac:dyDescent="0.2">
      <c r="A55" s="10"/>
      <c r="B55" s="10"/>
      <c r="C55" s="10" t="s">
        <v>65</v>
      </c>
      <c r="D55" s="120" t="s">
        <v>328</v>
      </c>
      <c r="E55" s="121"/>
      <c r="F55" s="10"/>
      <c r="G55" s="61"/>
      <c r="H55" s="23"/>
    </row>
    <row r="56" spans="1:8" x14ac:dyDescent="0.2">
      <c r="A56" s="4" t="s">
        <v>26</v>
      </c>
      <c r="B56" s="4" t="s">
        <v>515</v>
      </c>
      <c r="C56" s="4" t="s">
        <v>169</v>
      </c>
      <c r="D56" s="113" t="s">
        <v>329</v>
      </c>
      <c r="E56" s="114"/>
      <c r="F56" s="4" t="s">
        <v>486</v>
      </c>
      <c r="G56" s="59">
        <v>45</v>
      </c>
      <c r="H56" s="14">
        <v>0</v>
      </c>
    </row>
    <row r="57" spans="1:8" ht="12.2" customHeight="1" x14ac:dyDescent="0.2">
      <c r="D57" s="134" t="s">
        <v>561</v>
      </c>
      <c r="E57" s="135"/>
      <c r="F57" s="135"/>
      <c r="G57" s="43">
        <v>45</v>
      </c>
    </row>
    <row r="58" spans="1:8" x14ac:dyDescent="0.2">
      <c r="A58" s="10"/>
      <c r="B58" s="10"/>
      <c r="C58" s="10" t="s">
        <v>96</v>
      </c>
      <c r="D58" s="120" t="s">
        <v>330</v>
      </c>
      <c r="E58" s="121"/>
      <c r="F58" s="10"/>
      <c r="G58" s="61"/>
      <c r="H58" s="23"/>
    </row>
    <row r="59" spans="1:8" x14ac:dyDescent="0.2">
      <c r="A59" s="4" t="s">
        <v>27</v>
      </c>
      <c r="B59" s="4" t="s">
        <v>515</v>
      </c>
      <c r="C59" s="4" t="s">
        <v>170</v>
      </c>
      <c r="D59" s="113" t="s">
        <v>331</v>
      </c>
      <c r="E59" s="114"/>
      <c r="F59" s="4" t="s">
        <v>483</v>
      </c>
      <c r="G59" s="59">
        <v>20</v>
      </c>
      <c r="H59" s="14">
        <v>0</v>
      </c>
    </row>
    <row r="60" spans="1:8" ht="12.2" customHeight="1" x14ac:dyDescent="0.2">
      <c r="D60" s="134" t="s">
        <v>573</v>
      </c>
      <c r="E60" s="135"/>
      <c r="F60" s="135"/>
      <c r="G60" s="43">
        <v>20</v>
      </c>
    </row>
    <row r="61" spans="1:8" x14ac:dyDescent="0.2">
      <c r="A61" s="4" t="s">
        <v>28</v>
      </c>
      <c r="B61" s="4" t="s">
        <v>515</v>
      </c>
      <c r="C61" s="4" t="s">
        <v>171</v>
      </c>
      <c r="D61" s="113" t="s">
        <v>332</v>
      </c>
      <c r="E61" s="114"/>
      <c r="F61" s="4" t="s">
        <v>483</v>
      </c>
      <c r="G61" s="59">
        <v>50</v>
      </c>
      <c r="H61" s="14">
        <v>0</v>
      </c>
    </row>
    <row r="62" spans="1:8" ht="12.2" customHeight="1" x14ac:dyDescent="0.2">
      <c r="D62" s="134" t="s">
        <v>571</v>
      </c>
      <c r="E62" s="135"/>
      <c r="F62" s="135"/>
      <c r="G62" s="43">
        <v>50</v>
      </c>
    </row>
    <row r="63" spans="1:8" x14ac:dyDescent="0.2">
      <c r="A63" s="10"/>
      <c r="B63" s="10"/>
      <c r="C63" s="10" t="s">
        <v>100</v>
      </c>
      <c r="D63" s="120" t="s">
        <v>333</v>
      </c>
      <c r="E63" s="121"/>
      <c r="F63" s="10"/>
      <c r="G63" s="61"/>
      <c r="H63" s="23"/>
    </row>
    <row r="64" spans="1:8" x14ac:dyDescent="0.2">
      <c r="A64" s="4" t="s">
        <v>29</v>
      </c>
      <c r="B64" s="4" t="s">
        <v>515</v>
      </c>
      <c r="C64" s="4" t="s">
        <v>172</v>
      </c>
      <c r="D64" s="113" t="s">
        <v>334</v>
      </c>
      <c r="E64" s="114"/>
      <c r="F64" s="4" t="s">
        <v>486</v>
      </c>
      <c r="G64" s="59">
        <v>1108.7280000000001</v>
      </c>
      <c r="H64" s="14">
        <v>0</v>
      </c>
    </row>
    <row r="65" spans="1:8" ht="12.2" customHeight="1" x14ac:dyDescent="0.2">
      <c r="D65" s="134" t="s">
        <v>574</v>
      </c>
      <c r="E65" s="135"/>
      <c r="F65" s="135"/>
      <c r="G65" s="43">
        <v>571.72799999999995</v>
      </c>
    </row>
    <row r="66" spans="1:8" ht="12.2" customHeight="1" x14ac:dyDescent="0.2">
      <c r="A66" s="4"/>
      <c r="B66" s="4"/>
      <c r="C66" s="4"/>
      <c r="D66" s="134" t="s">
        <v>575</v>
      </c>
      <c r="E66" s="135"/>
      <c r="F66" s="134"/>
      <c r="G66" s="60">
        <v>537</v>
      </c>
      <c r="H66" s="24"/>
    </row>
    <row r="67" spans="1:8" x14ac:dyDescent="0.2">
      <c r="A67" s="10"/>
      <c r="B67" s="10"/>
      <c r="C67" s="10" t="s">
        <v>102</v>
      </c>
      <c r="D67" s="120" t="s">
        <v>335</v>
      </c>
      <c r="E67" s="121"/>
      <c r="F67" s="10"/>
      <c r="G67" s="61"/>
      <c r="H67" s="23"/>
    </row>
    <row r="68" spans="1:8" x14ac:dyDescent="0.2">
      <c r="A68" s="4" t="s">
        <v>30</v>
      </c>
      <c r="B68" s="4" t="s">
        <v>515</v>
      </c>
      <c r="C68" s="4" t="s">
        <v>173</v>
      </c>
      <c r="D68" s="113" t="s">
        <v>336</v>
      </c>
      <c r="E68" s="114"/>
      <c r="F68" s="4" t="s">
        <v>487</v>
      </c>
      <c r="G68" s="59">
        <v>72.754000000000005</v>
      </c>
      <c r="H68" s="14">
        <v>0</v>
      </c>
    </row>
    <row r="69" spans="1:8" ht="12.2" customHeight="1" x14ac:dyDescent="0.2">
      <c r="D69" s="134" t="s">
        <v>576</v>
      </c>
      <c r="E69" s="135"/>
      <c r="F69" s="135"/>
      <c r="G69" s="43">
        <v>26.538</v>
      </c>
    </row>
    <row r="70" spans="1:8" ht="12.2" customHeight="1" x14ac:dyDescent="0.2">
      <c r="A70" s="4"/>
      <c r="B70" s="4"/>
      <c r="C70" s="4"/>
      <c r="D70" s="134" t="s">
        <v>577</v>
      </c>
      <c r="E70" s="135"/>
      <c r="F70" s="134"/>
      <c r="G70" s="60">
        <v>6.1390000000000002</v>
      </c>
      <c r="H70" s="24"/>
    </row>
    <row r="71" spans="1:8" ht="12.2" customHeight="1" x14ac:dyDescent="0.2">
      <c r="A71" s="4"/>
      <c r="B71" s="4"/>
      <c r="C71" s="4"/>
      <c r="D71" s="134" t="s">
        <v>578</v>
      </c>
      <c r="E71" s="135"/>
      <c r="F71" s="134"/>
      <c r="G71" s="60">
        <v>30.56</v>
      </c>
      <c r="H71" s="24"/>
    </row>
    <row r="72" spans="1:8" ht="12.2" customHeight="1" x14ac:dyDescent="0.2">
      <c r="A72" s="4"/>
      <c r="B72" s="4"/>
      <c r="C72" s="4"/>
      <c r="D72" s="134" t="s">
        <v>579</v>
      </c>
      <c r="E72" s="135"/>
      <c r="F72" s="134"/>
      <c r="G72" s="60">
        <v>7.9249999999999998</v>
      </c>
      <c r="H72" s="24"/>
    </row>
    <row r="73" spans="1:8" ht="12.2" customHeight="1" x14ac:dyDescent="0.2">
      <c r="A73" s="4"/>
      <c r="B73" s="4"/>
      <c r="C73" s="4"/>
      <c r="D73" s="134" t="s">
        <v>580</v>
      </c>
      <c r="E73" s="135"/>
      <c r="F73" s="134"/>
      <c r="G73" s="60">
        <v>1.5920000000000001</v>
      </c>
      <c r="H73" s="24"/>
    </row>
    <row r="74" spans="1:8" x14ac:dyDescent="0.2">
      <c r="A74" s="4" t="s">
        <v>31</v>
      </c>
      <c r="B74" s="4" t="s">
        <v>515</v>
      </c>
      <c r="C74" s="4" t="s">
        <v>174</v>
      </c>
      <c r="D74" s="113" t="s">
        <v>337</v>
      </c>
      <c r="E74" s="114"/>
      <c r="F74" s="4" t="s">
        <v>486</v>
      </c>
      <c r="G74" s="59">
        <v>10.423999999999999</v>
      </c>
      <c r="H74" s="14">
        <v>0</v>
      </c>
    </row>
    <row r="75" spans="1:8" ht="12.2" customHeight="1" x14ac:dyDescent="0.2">
      <c r="D75" s="134" t="s">
        <v>581</v>
      </c>
      <c r="E75" s="135"/>
      <c r="F75" s="135"/>
      <c r="G75" s="43">
        <v>10.423999999999999</v>
      </c>
    </row>
    <row r="76" spans="1:8" x14ac:dyDescent="0.2">
      <c r="A76" s="4" t="s">
        <v>32</v>
      </c>
      <c r="B76" s="4" t="s">
        <v>515</v>
      </c>
      <c r="C76" s="4" t="s">
        <v>175</v>
      </c>
      <c r="D76" s="113" t="s">
        <v>338</v>
      </c>
      <c r="E76" s="114"/>
      <c r="F76" s="4" t="s">
        <v>486</v>
      </c>
      <c r="G76" s="59">
        <v>76.650999999999996</v>
      </c>
      <c r="H76" s="14">
        <v>0</v>
      </c>
    </row>
    <row r="77" spans="1:8" ht="12.2" customHeight="1" x14ac:dyDescent="0.2">
      <c r="D77" s="134" t="s">
        <v>582</v>
      </c>
      <c r="E77" s="135"/>
      <c r="F77" s="135"/>
      <c r="G77" s="43">
        <v>76.650999999999996</v>
      </c>
    </row>
    <row r="78" spans="1:8" x14ac:dyDescent="0.2">
      <c r="A78" s="4" t="s">
        <v>33</v>
      </c>
      <c r="B78" s="4" t="s">
        <v>515</v>
      </c>
      <c r="C78" s="4" t="s">
        <v>176</v>
      </c>
      <c r="D78" s="113" t="s">
        <v>339</v>
      </c>
      <c r="E78" s="114"/>
      <c r="F78" s="4" t="s">
        <v>486</v>
      </c>
      <c r="G78" s="59">
        <v>85.92</v>
      </c>
      <c r="H78" s="14">
        <v>0</v>
      </c>
    </row>
    <row r="79" spans="1:8" ht="12.2" customHeight="1" x14ac:dyDescent="0.2">
      <c r="D79" s="134" t="s">
        <v>583</v>
      </c>
      <c r="E79" s="135"/>
      <c r="F79" s="135"/>
      <c r="G79" s="43">
        <v>85.92</v>
      </c>
    </row>
    <row r="80" spans="1:8" x14ac:dyDescent="0.2">
      <c r="A80" s="4" t="s">
        <v>34</v>
      </c>
      <c r="B80" s="4" t="s">
        <v>515</v>
      </c>
      <c r="C80" s="4" t="s">
        <v>177</v>
      </c>
      <c r="D80" s="113" t="s">
        <v>340</v>
      </c>
      <c r="E80" s="114"/>
      <c r="F80" s="4" t="s">
        <v>487</v>
      </c>
      <c r="G80" s="59">
        <v>67.819999999999993</v>
      </c>
      <c r="H80" s="14">
        <v>0</v>
      </c>
    </row>
    <row r="81" spans="1:8" ht="12.2" customHeight="1" x14ac:dyDescent="0.2">
      <c r="D81" s="134" t="s">
        <v>584</v>
      </c>
      <c r="E81" s="135"/>
      <c r="F81" s="135"/>
      <c r="G81" s="43">
        <v>23.361999999999998</v>
      </c>
    </row>
    <row r="82" spans="1:8" ht="12.2" customHeight="1" x14ac:dyDescent="0.2">
      <c r="A82" s="4"/>
      <c r="B82" s="4"/>
      <c r="C82" s="4"/>
      <c r="D82" s="134" t="s">
        <v>585</v>
      </c>
      <c r="E82" s="135"/>
      <c r="F82" s="134"/>
      <c r="G82" s="60">
        <v>30.443999999999999</v>
      </c>
      <c r="H82" s="24"/>
    </row>
    <row r="83" spans="1:8" ht="12.2" customHeight="1" x14ac:dyDescent="0.2">
      <c r="A83" s="4"/>
      <c r="B83" s="4"/>
      <c r="C83" s="4"/>
      <c r="D83" s="134" t="s">
        <v>586</v>
      </c>
      <c r="E83" s="135"/>
      <c r="F83" s="134"/>
      <c r="G83" s="60">
        <v>14.013999999999999</v>
      </c>
      <c r="H83" s="24"/>
    </row>
    <row r="84" spans="1:8" x14ac:dyDescent="0.2">
      <c r="A84" s="4" t="s">
        <v>35</v>
      </c>
      <c r="B84" s="4" t="s">
        <v>515</v>
      </c>
      <c r="C84" s="4" t="s">
        <v>178</v>
      </c>
      <c r="D84" s="113" t="s">
        <v>341</v>
      </c>
      <c r="E84" s="114"/>
      <c r="F84" s="4" t="s">
        <v>487</v>
      </c>
      <c r="G84" s="59">
        <v>0.46500000000000002</v>
      </c>
      <c r="H84" s="14">
        <v>0</v>
      </c>
    </row>
    <row r="85" spans="1:8" ht="12.2" customHeight="1" x14ac:dyDescent="0.2">
      <c r="D85" s="134" t="s">
        <v>587</v>
      </c>
      <c r="E85" s="135"/>
      <c r="F85" s="135"/>
      <c r="G85" s="43">
        <v>0.46500000000000002</v>
      </c>
    </row>
    <row r="86" spans="1:8" x14ac:dyDescent="0.2">
      <c r="A86" s="4" t="s">
        <v>36</v>
      </c>
      <c r="B86" s="4" t="s">
        <v>515</v>
      </c>
      <c r="C86" s="4" t="s">
        <v>179</v>
      </c>
      <c r="D86" s="113" t="s">
        <v>342</v>
      </c>
      <c r="E86" s="114"/>
      <c r="F86" s="4" t="s">
        <v>487</v>
      </c>
      <c r="G86" s="59">
        <v>37.984000000000002</v>
      </c>
      <c r="H86" s="14">
        <v>0</v>
      </c>
    </row>
    <row r="87" spans="1:8" ht="12.2" customHeight="1" x14ac:dyDescent="0.2">
      <c r="D87" s="134" t="s">
        <v>588</v>
      </c>
      <c r="E87" s="135"/>
      <c r="F87" s="135"/>
      <c r="G87" s="43">
        <v>29.638000000000002</v>
      </c>
    </row>
    <row r="88" spans="1:8" ht="12.2" customHeight="1" x14ac:dyDescent="0.2">
      <c r="A88" s="4"/>
      <c r="B88" s="4"/>
      <c r="C88" s="4"/>
      <c r="D88" s="134" t="s">
        <v>589</v>
      </c>
      <c r="E88" s="135"/>
      <c r="F88" s="134"/>
      <c r="G88" s="60">
        <v>8.3460000000000001</v>
      </c>
      <c r="H88" s="24"/>
    </row>
    <row r="89" spans="1:8" x14ac:dyDescent="0.2">
      <c r="A89" s="4" t="s">
        <v>37</v>
      </c>
      <c r="B89" s="4" t="s">
        <v>515</v>
      </c>
      <c r="C89" s="4" t="s">
        <v>180</v>
      </c>
      <c r="D89" s="113" t="s">
        <v>343</v>
      </c>
      <c r="E89" s="114"/>
      <c r="F89" s="4" t="s">
        <v>486</v>
      </c>
      <c r="G89" s="59">
        <v>384.46699999999998</v>
      </c>
      <c r="H89" s="14">
        <v>0</v>
      </c>
    </row>
    <row r="90" spans="1:8" ht="12.2" customHeight="1" x14ac:dyDescent="0.2">
      <c r="D90" s="134" t="s">
        <v>590</v>
      </c>
      <c r="E90" s="135"/>
      <c r="F90" s="135"/>
      <c r="G90" s="43">
        <v>384.46699999999998</v>
      </c>
    </row>
    <row r="91" spans="1:8" x14ac:dyDescent="0.2">
      <c r="A91" s="4" t="s">
        <v>38</v>
      </c>
      <c r="B91" s="4" t="s">
        <v>515</v>
      </c>
      <c r="C91" s="4" t="s">
        <v>181</v>
      </c>
      <c r="D91" s="113" t="s">
        <v>344</v>
      </c>
      <c r="E91" s="114"/>
      <c r="F91" s="4" t="s">
        <v>487</v>
      </c>
      <c r="G91" s="59">
        <v>37.218000000000004</v>
      </c>
      <c r="H91" s="14">
        <v>0</v>
      </c>
    </row>
    <row r="92" spans="1:8" ht="12.2" customHeight="1" x14ac:dyDescent="0.2">
      <c r="D92" s="134" t="s">
        <v>591</v>
      </c>
      <c r="E92" s="135"/>
      <c r="F92" s="135"/>
      <c r="G92" s="43">
        <v>37.218000000000004</v>
      </c>
    </row>
    <row r="93" spans="1:8" x14ac:dyDescent="0.2">
      <c r="A93" s="4" t="s">
        <v>39</v>
      </c>
      <c r="B93" s="4" t="s">
        <v>515</v>
      </c>
      <c r="C93" s="4" t="s">
        <v>182</v>
      </c>
      <c r="D93" s="113" t="s">
        <v>345</v>
      </c>
      <c r="E93" s="114"/>
      <c r="F93" s="4" t="s">
        <v>487</v>
      </c>
      <c r="G93" s="59">
        <v>16.736000000000001</v>
      </c>
      <c r="H93" s="14">
        <v>0</v>
      </c>
    </row>
    <row r="94" spans="1:8" ht="12.2" customHeight="1" x14ac:dyDescent="0.2">
      <c r="D94" s="134" t="s">
        <v>592</v>
      </c>
      <c r="E94" s="135"/>
      <c r="F94" s="135"/>
      <c r="G94" s="43">
        <v>16.736000000000001</v>
      </c>
    </row>
    <row r="95" spans="1:8" x14ac:dyDescent="0.2">
      <c r="A95" s="4" t="s">
        <v>40</v>
      </c>
      <c r="B95" s="4" t="s">
        <v>515</v>
      </c>
      <c r="C95" s="4" t="s">
        <v>183</v>
      </c>
      <c r="D95" s="113" t="s">
        <v>346</v>
      </c>
      <c r="E95" s="114"/>
      <c r="F95" s="4" t="s">
        <v>486</v>
      </c>
      <c r="G95" s="59">
        <v>163.578</v>
      </c>
      <c r="H95" s="14">
        <v>0</v>
      </c>
    </row>
    <row r="96" spans="1:8" ht="12.2" customHeight="1" x14ac:dyDescent="0.2">
      <c r="D96" s="134" t="s">
        <v>593</v>
      </c>
      <c r="E96" s="135"/>
      <c r="F96" s="135"/>
      <c r="G96" s="43">
        <v>95.593999999999994</v>
      </c>
    </row>
    <row r="97" spans="1:8" ht="12.2" customHeight="1" x14ac:dyDescent="0.2">
      <c r="A97" s="4"/>
      <c r="B97" s="4"/>
      <c r="C97" s="4"/>
      <c r="D97" s="134" t="s">
        <v>594</v>
      </c>
      <c r="E97" s="135"/>
      <c r="F97" s="134"/>
      <c r="G97" s="60">
        <v>67.983999999999995</v>
      </c>
      <c r="H97" s="24"/>
    </row>
    <row r="98" spans="1:8" x14ac:dyDescent="0.2">
      <c r="A98" s="4" t="s">
        <v>41</v>
      </c>
      <c r="B98" s="4" t="s">
        <v>515</v>
      </c>
      <c r="C98" s="4" t="s">
        <v>184</v>
      </c>
      <c r="D98" s="113" t="s">
        <v>347</v>
      </c>
      <c r="E98" s="114"/>
      <c r="F98" s="4" t="s">
        <v>486</v>
      </c>
      <c r="G98" s="59">
        <v>216.83</v>
      </c>
      <c r="H98" s="14">
        <v>0</v>
      </c>
    </row>
    <row r="99" spans="1:8" ht="12.2" customHeight="1" x14ac:dyDescent="0.2">
      <c r="D99" s="134" t="s">
        <v>595</v>
      </c>
      <c r="E99" s="135"/>
      <c r="F99" s="135"/>
      <c r="G99" s="43">
        <v>216.83</v>
      </c>
    </row>
    <row r="100" spans="1:8" x14ac:dyDescent="0.2">
      <c r="A100" s="4" t="s">
        <v>42</v>
      </c>
      <c r="B100" s="4" t="s">
        <v>515</v>
      </c>
      <c r="C100" s="4" t="s">
        <v>185</v>
      </c>
      <c r="D100" s="113" t="s">
        <v>348</v>
      </c>
      <c r="E100" s="114"/>
      <c r="F100" s="4" t="s">
        <v>487</v>
      </c>
      <c r="G100" s="59">
        <v>0.629</v>
      </c>
      <c r="H100" s="14">
        <v>0</v>
      </c>
    </row>
    <row r="101" spans="1:8" ht="12.2" customHeight="1" x14ac:dyDescent="0.2">
      <c r="D101" s="134" t="s">
        <v>596</v>
      </c>
      <c r="E101" s="135"/>
      <c r="F101" s="135"/>
      <c r="G101" s="43">
        <v>0.629</v>
      </c>
    </row>
    <row r="102" spans="1:8" x14ac:dyDescent="0.2">
      <c r="A102" s="4" t="s">
        <v>43</v>
      </c>
      <c r="B102" s="4" t="s">
        <v>515</v>
      </c>
      <c r="C102" s="4" t="s">
        <v>186</v>
      </c>
      <c r="D102" s="113" t="s">
        <v>349</v>
      </c>
      <c r="E102" s="114"/>
      <c r="F102" s="4" t="s">
        <v>487</v>
      </c>
      <c r="G102" s="59">
        <v>1.7809999999999999</v>
      </c>
      <c r="H102" s="14">
        <v>0</v>
      </c>
    </row>
    <row r="103" spans="1:8" ht="12.2" customHeight="1" x14ac:dyDescent="0.2">
      <c r="D103" s="134" t="s">
        <v>597</v>
      </c>
      <c r="E103" s="135"/>
      <c r="F103" s="135"/>
      <c r="G103" s="43">
        <v>1.7809999999999999</v>
      </c>
    </row>
    <row r="104" spans="1:8" x14ac:dyDescent="0.2">
      <c r="A104" s="4" t="s">
        <v>44</v>
      </c>
      <c r="B104" s="4" t="s">
        <v>515</v>
      </c>
      <c r="C104" s="4" t="s">
        <v>187</v>
      </c>
      <c r="D104" s="113" t="s">
        <v>350</v>
      </c>
      <c r="E104" s="114"/>
      <c r="F104" s="4" t="s">
        <v>487</v>
      </c>
      <c r="G104" s="59">
        <v>4.4290000000000003</v>
      </c>
      <c r="H104" s="14">
        <v>0</v>
      </c>
    </row>
    <row r="105" spans="1:8" ht="12.2" customHeight="1" x14ac:dyDescent="0.2">
      <c r="D105" s="134" t="s">
        <v>598</v>
      </c>
      <c r="E105" s="135"/>
      <c r="F105" s="135"/>
      <c r="G105" s="43">
        <v>4.4290000000000003</v>
      </c>
    </row>
    <row r="106" spans="1:8" x14ac:dyDescent="0.2">
      <c r="A106" s="4" t="s">
        <v>45</v>
      </c>
      <c r="B106" s="4" t="s">
        <v>515</v>
      </c>
      <c r="C106" s="4" t="s">
        <v>188</v>
      </c>
      <c r="D106" s="113" t="s">
        <v>351</v>
      </c>
      <c r="E106" s="114"/>
      <c r="F106" s="4" t="s">
        <v>485</v>
      </c>
      <c r="G106" s="59">
        <v>6.12</v>
      </c>
      <c r="H106" s="14">
        <v>0</v>
      </c>
    </row>
    <row r="107" spans="1:8" ht="12.2" customHeight="1" x14ac:dyDescent="0.2">
      <c r="D107" s="134" t="s">
        <v>599</v>
      </c>
      <c r="E107" s="135"/>
      <c r="F107" s="135"/>
      <c r="G107" s="43">
        <v>6.12</v>
      </c>
    </row>
    <row r="108" spans="1:8" x14ac:dyDescent="0.2">
      <c r="A108" s="4" t="s">
        <v>46</v>
      </c>
      <c r="B108" s="4" t="s">
        <v>515</v>
      </c>
      <c r="C108" s="4" t="s">
        <v>189</v>
      </c>
      <c r="D108" s="113" t="s">
        <v>352</v>
      </c>
      <c r="E108" s="114"/>
      <c r="F108" s="4" t="s">
        <v>485</v>
      </c>
      <c r="G108" s="59">
        <v>24</v>
      </c>
      <c r="H108" s="14">
        <v>0</v>
      </c>
    </row>
    <row r="109" spans="1:8" ht="12.2" customHeight="1" x14ac:dyDescent="0.2">
      <c r="D109" s="134" t="s">
        <v>600</v>
      </c>
      <c r="E109" s="135"/>
      <c r="F109" s="135"/>
      <c r="G109" s="43">
        <v>24</v>
      </c>
    </row>
    <row r="110" spans="1:8" x14ac:dyDescent="0.2">
      <c r="A110" s="4" t="s">
        <v>47</v>
      </c>
      <c r="B110" s="4" t="s">
        <v>515</v>
      </c>
      <c r="C110" s="4" t="s">
        <v>190</v>
      </c>
      <c r="D110" s="113" t="s">
        <v>353</v>
      </c>
      <c r="E110" s="114"/>
      <c r="F110" s="4" t="s">
        <v>487</v>
      </c>
      <c r="G110" s="59">
        <v>0.221</v>
      </c>
      <c r="H110" s="14">
        <v>0</v>
      </c>
    </row>
    <row r="111" spans="1:8" ht="12.2" customHeight="1" x14ac:dyDescent="0.2">
      <c r="D111" s="134" t="s">
        <v>601</v>
      </c>
      <c r="E111" s="135"/>
      <c r="F111" s="135"/>
      <c r="G111" s="43">
        <v>0.221</v>
      </c>
    </row>
    <row r="112" spans="1:8" x14ac:dyDescent="0.2">
      <c r="A112" s="4" t="s">
        <v>48</v>
      </c>
      <c r="B112" s="4" t="s">
        <v>515</v>
      </c>
      <c r="C112" s="4" t="s">
        <v>191</v>
      </c>
      <c r="D112" s="113" t="s">
        <v>354</v>
      </c>
      <c r="E112" s="114"/>
      <c r="F112" s="4" t="s">
        <v>487</v>
      </c>
      <c r="G112" s="59">
        <v>5.7930000000000001</v>
      </c>
      <c r="H112" s="14">
        <v>0</v>
      </c>
    </row>
    <row r="113" spans="1:8" ht="12.2" customHeight="1" x14ac:dyDescent="0.2">
      <c r="D113" s="134" t="s">
        <v>602</v>
      </c>
      <c r="E113" s="135"/>
      <c r="F113" s="135"/>
      <c r="G113" s="43">
        <v>5.7930000000000001</v>
      </c>
    </row>
    <row r="114" spans="1:8" x14ac:dyDescent="0.2">
      <c r="A114" s="4" t="s">
        <v>49</v>
      </c>
      <c r="B114" s="4" t="s">
        <v>515</v>
      </c>
      <c r="C114" s="4" t="s">
        <v>192</v>
      </c>
      <c r="D114" s="113" t="s">
        <v>355</v>
      </c>
      <c r="E114" s="114"/>
      <c r="F114" s="4" t="s">
        <v>487</v>
      </c>
      <c r="G114" s="59">
        <v>6.6219999999999999</v>
      </c>
      <c r="H114" s="14">
        <v>0</v>
      </c>
    </row>
    <row r="115" spans="1:8" ht="12.2" customHeight="1" x14ac:dyDescent="0.2">
      <c r="D115" s="134" t="s">
        <v>603</v>
      </c>
      <c r="E115" s="135"/>
      <c r="F115" s="135"/>
      <c r="G115" s="43">
        <v>6.6219999999999999</v>
      </c>
    </row>
    <row r="116" spans="1:8" x14ac:dyDescent="0.2">
      <c r="A116" s="4" t="s">
        <v>50</v>
      </c>
      <c r="B116" s="4" t="s">
        <v>515</v>
      </c>
      <c r="C116" s="4" t="s">
        <v>193</v>
      </c>
      <c r="D116" s="113" t="s">
        <v>356</v>
      </c>
      <c r="E116" s="114"/>
      <c r="F116" s="4" t="s">
        <v>488</v>
      </c>
      <c r="G116" s="59">
        <v>6.8380000000000001</v>
      </c>
      <c r="H116" s="14">
        <v>0</v>
      </c>
    </row>
    <row r="117" spans="1:8" ht="12.2" customHeight="1" x14ac:dyDescent="0.2">
      <c r="D117" s="134" t="s">
        <v>604</v>
      </c>
      <c r="E117" s="135"/>
      <c r="F117" s="135"/>
      <c r="G117" s="43">
        <v>6.8380000000000001</v>
      </c>
    </row>
    <row r="118" spans="1:8" x14ac:dyDescent="0.2">
      <c r="A118" s="4" t="s">
        <v>51</v>
      </c>
      <c r="B118" s="4" t="s">
        <v>515</v>
      </c>
      <c r="C118" s="4" t="s">
        <v>194</v>
      </c>
      <c r="D118" s="113" t="s">
        <v>357</v>
      </c>
      <c r="E118" s="114"/>
      <c r="F118" s="4" t="s">
        <v>487</v>
      </c>
      <c r="G118" s="59">
        <v>17.904</v>
      </c>
      <c r="H118" s="14">
        <v>0</v>
      </c>
    </row>
    <row r="119" spans="1:8" ht="12.2" customHeight="1" x14ac:dyDescent="0.2">
      <c r="D119" s="134" t="s">
        <v>605</v>
      </c>
      <c r="E119" s="135"/>
      <c r="F119" s="135"/>
      <c r="G119" s="43">
        <v>17.904</v>
      </c>
    </row>
    <row r="120" spans="1:8" x14ac:dyDescent="0.2">
      <c r="A120" s="4" t="s">
        <v>52</v>
      </c>
      <c r="B120" s="4" t="s">
        <v>515</v>
      </c>
      <c r="C120" s="4" t="s">
        <v>194</v>
      </c>
      <c r="D120" s="113" t="s">
        <v>358</v>
      </c>
      <c r="E120" s="114"/>
      <c r="F120" s="4" t="s">
        <v>487</v>
      </c>
      <c r="G120" s="59">
        <v>7.4909999999999997</v>
      </c>
      <c r="H120" s="14">
        <v>0</v>
      </c>
    </row>
    <row r="121" spans="1:8" ht="12.2" customHeight="1" x14ac:dyDescent="0.2">
      <c r="D121" s="134" t="s">
        <v>606</v>
      </c>
      <c r="E121" s="135"/>
      <c r="F121" s="135"/>
      <c r="G121" s="43">
        <v>7.4909999999999997</v>
      </c>
    </row>
    <row r="122" spans="1:8" x14ac:dyDescent="0.2">
      <c r="A122" s="4" t="s">
        <v>53</v>
      </c>
      <c r="B122" s="4" t="s">
        <v>515</v>
      </c>
      <c r="C122" s="4" t="s">
        <v>194</v>
      </c>
      <c r="D122" s="113" t="s">
        <v>359</v>
      </c>
      <c r="E122" s="114"/>
      <c r="F122" s="4" t="s">
        <v>487</v>
      </c>
      <c r="G122" s="59">
        <v>10.976000000000001</v>
      </c>
      <c r="H122" s="14">
        <v>0</v>
      </c>
    </row>
    <row r="123" spans="1:8" ht="12.2" customHeight="1" x14ac:dyDescent="0.2">
      <c r="D123" s="134" t="s">
        <v>607</v>
      </c>
      <c r="E123" s="135"/>
      <c r="F123" s="135"/>
      <c r="G123" s="43">
        <v>10.976000000000001</v>
      </c>
    </row>
    <row r="124" spans="1:8" x14ac:dyDescent="0.2">
      <c r="A124" s="4" t="s">
        <v>54</v>
      </c>
      <c r="B124" s="4" t="s">
        <v>515</v>
      </c>
      <c r="C124" s="4" t="s">
        <v>195</v>
      </c>
      <c r="D124" s="113" t="s">
        <v>360</v>
      </c>
      <c r="E124" s="114"/>
      <c r="F124" s="4" t="s">
        <v>487</v>
      </c>
      <c r="G124" s="59">
        <v>0.21</v>
      </c>
      <c r="H124" s="14">
        <v>0</v>
      </c>
    </row>
    <row r="125" spans="1:8" ht="12.2" customHeight="1" x14ac:dyDescent="0.2">
      <c r="D125" s="134" t="s">
        <v>608</v>
      </c>
      <c r="E125" s="135"/>
      <c r="F125" s="135"/>
      <c r="G125" s="43">
        <v>0.21</v>
      </c>
    </row>
    <row r="126" spans="1:8" x14ac:dyDescent="0.2">
      <c r="A126" s="4" t="s">
        <v>55</v>
      </c>
      <c r="B126" s="4" t="s">
        <v>515</v>
      </c>
      <c r="C126" s="4" t="s">
        <v>196</v>
      </c>
      <c r="D126" s="113" t="s">
        <v>361</v>
      </c>
      <c r="E126" s="114"/>
      <c r="F126" s="4" t="s">
        <v>487</v>
      </c>
      <c r="G126" s="59">
        <v>35.345999999999997</v>
      </c>
      <c r="H126" s="14">
        <v>0</v>
      </c>
    </row>
    <row r="127" spans="1:8" ht="12.2" customHeight="1" x14ac:dyDescent="0.2">
      <c r="D127" s="134" t="s">
        <v>609</v>
      </c>
      <c r="E127" s="135"/>
      <c r="F127" s="135"/>
      <c r="G127" s="43">
        <v>25.774000000000001</v>
      </c>
    </row>
    <row r="128" spans="1:8" ht="12.2" customHeight="1" x14ac:dyDescent="0.2">
      <c r="A128" s="4"/>
      <c r="B128" s="4"/>
      <c r="C128" s="4"/>
      <c r="D128" s="134" t="s">
        <v>610</v>
      </c>
      <c r="E128" s="135"/>
      <c r="F128" s="134"/>
      <c r="G128" s="60">
        <v>9.5719999999999992</v>
      </c>
      <c r="H128" s="24"/>
    </row>
    <row r="129" spans="1:8" x14ac:dyDescent="0.2">
      <c r="A129" s="4" t="s">
        <v>56</v>
      </c>
      <c r="B129" s="4" t="s">
        <v>515</v>
      </c>
      <c r="C129" s="4" t="s">
        <v>197</v>
      </c>
      <c r="D129" s="113" t="s">
        <v>362</v>
      </c>
      <c r="E129" s="114"/>
      <c r="F129" s="4" t="s">
        <v>487</v>
      </c>
      <c r="G129" s="59">
        <v>7.1260000000000003</v>
      </c>
      <c r="H129" s="14">
        <v>0</v>
      </c>
    </row>
    <row r="130" spans="1:8" ht="12.2" customHeight="1" x14ac:dyDescent="0.2">
      <c r="D130" s="134" t="s">
        <v>611</v>
      </c>
      <c r="E130" s="135"/>
      <c r="F130" s="135"/>
      <c r="G130" s="43">
        <v>7.1260000000000003</v>
      </c>
    </row>
    <row r="131" spans="1:8" x14ac:dyDescent="0.2">
      <c r="A131" s="4" t="s">
        <v>57</v>
      </c>
      <c r="B131" s="4" t="s">
        <v>515</v>
      </c>
      <c r="C131" s="4" t="s">
        <v>198</v>
      </c>
      <c r="D131" s="113" t="s">
        <v>363</v>
      </c>
      <c r="E131" s="114"/>
      <c r="F131" s="4" t="s">
        <v>487</v>
      </c>
      <c r="G131" s="59">
        <v>4.3899999999999997</v>
      </c>
      <c r="H131" s="14">
        <v>0</v>
      </c>
    </row>
    <row r="132" spans="1:8" ht="12.2" customHeight="1" x14ac:dyDescent="0.2">
      <c r="D132" s="134" t="s">
        <v>612</v>
      </c>
      <c r="E132" s="135"/>
      <c r="F132" s="135"/>
      <c r="G132" s="43">
        <v>4.3899999999999997</v>
      </c>
    </row>
    <row r="133" spans="1:8" x14ac:dyDescent="0.2">
      <c r="A133" s="4" t="s">
        <v>58</v>
      </c>
      <c r="B133" s="4" t="s">
        <v>515</v>
      </c>
      <c r="C133" s="4" t="s">
        <v>199</v>
      </c>
      <c r="D133" s="113" t="s">
        <v>364</v>
      </c>
      <c r="E133" s="114"/>
      <c r="F133" s="4" t="s">
        <v>487</v>
      </c>
      <c r="G133" s="59">
        <v>3.653</v>
      </c>
      <c r="H133" s="14">
        <v>0</v>
      </c>
    </row>
    <row r="134" spans="1:8" ht="12.2" customHeight="1" x14ac:dyDescent="0.2">
      <c r="D134" s="134" t="s">
        <v>613</v>
      </c>
      <c r="E134" s="135"/>
      <c r="F134" s="135"/>
      <c r="G134" s="43">
        <v>0.28199999999999997</v>
      </c>
    </row>
    <row r="135" spans="1:8" ht="12.2" customHeight="1" x14ac:dyDescent="0.2">
      <c r="A135" s="4"/>
      <c r="B135" s="4"/>
      <c r="C135" s="4"/>
      <c r="D135" s="134" t="s">
        <v>614</v>
      </c>
      <c r="E135" s="135"/>
      <c r="F135" s="134"/>
      <c r="G135" s="60">
        <v>3.371</v>
      </c>
      <c r="H135" s="24"/>
    </row>
    <row r="136" spans="1:8" x14ac:dyDescent="0.2">
      <c r="A136" s="4" t="s">
        <v>59</v>
      </c>
      <c r="B136" s="4" t="s">
        <v>515</v>
      </c>
      <c r="C136" s="4" t="s">
        <v>200</v>
      </c>
      <c r="D136" s="113" t="s">
        <v>365</v>
      </c>
      <c r="E136" s="114"/>
      <c r="F136" s="4" t="s">
        <v>487</v>
      </c>
      <c r="G136" s="59">
        <v>87.096000000000004</v>
      </c>
      <c r="H136" s="14">
        <v>0</v>
      </c>
    </row>
    <row r="137" spans="1:8" ht="12.2" customHeight="1" x14ac:dyDescent="0.2">
      <c r="D137" s="134" t="s">
        <v>615</v>
      </c>
      <c r="E137" s="135"/>
      <c r="F137" s="135"/>
      <c r="G137" s="43">
        <v>87.096000000000004</v>
      </c>
    </row>
    <row r="138" spans="1:8" x14ac:dyDescent="0.2">
      <c r="A138" s="4" t="s">
        <v>60</v>
      </c>
      <c r="B138" s="4" t="s">
        <v>515</v>
      </c>
      <c r="C138" s="4" t="s">
        <v>201</v>
      </c>
      <c r="D138" s="113" t="s">
        <v>367</v>
      </c>
      <c r="E138" s="114"/>
      <c r="F138" s="4" t="s">
        <v>485</v>
      </c>
      <c r="G138" s="59">
        <v>97.3</v>
      </c>
      <c r="H138" s="14">
        <v>0</v>
      </c>
    </row>
    <row r="139" spans="1:8" ht="12.2" customHeight="1" x14ac:dyDescent="0.2">
      <c r="D139" s="134" t="s">
        <v>616</v>
      </c>
      <c r="E139" s="135"/>
      <c r="F139" s="135"/>
      <c r="G139" s="43">
        <v>83.12</v>
      </c>
    </row>
    <row r="140" spans="1:8" ht="12.2" customHeight="1" x14ac:dyDescent="0.2">
      <c r="A140" s="4"/>
      <c r="B140" s="4"/>
      <c r="C140" s="4"/>
      <c r="D140" s="134" t="s">
        <v>617</v>
      </c>
      <c r="E140" s="135"/>
      <c r="F140" s="134"/>
      <c r="G140" s="60">
        <v>14.18</v>
      </c>
      <c r="H140" s="24"/>
    </row>
    <row r="141" spans="1:8" x14ac:dyDescent="0.2">
      <c r="A141" s="4" t="s">
        <v>61</v>
      </c>
      <c r="B141" s="4" t="s">
        <v>515</v>
      </c>
      <c r="C141" s="4" t="s">
        <v>202</v>
      </c>
      <c r="D141" s="113" t="s">
        <v>368</v>
      </c>
      <c r="E141" s="114"/>
      <c r="F141" s="4" t="s">
        <v>486</v>
      </c>
      <c r="G141" s="59">
        <v>74.45</v>
      </c>
      <c r="H141" s="14">
        <v>0</v>
      </c>
    </row>
    <row r="142" spans="1:8" ht="12.2" customHeight="1" x14ac:dyDescent="0.2">
      <c r="D142" s="134" t="s">
        <v>618</v>
      </c>
      <c r="E142" s="135"/>
      <c r="F142" s="135"/>
      <c r="G142" s="43">
        <v>69.400000000000006</v>
      </c>
    </row>
    <row r="143" spans="1:8" ht="12.2" customHeight="1" x14ac:dyDescent="0.2">
      <c r="A143" s="4"/>
      <c r="B143" s="4"/>
      <c r="C143" s="4"/>
      <c r="D143" s="134" t="s">
        <v>619</v>
      </c>
      <c r="E143" s="135"/>
      <c r="F143" s="134"/>
      <c r="G143" s="60">
        <v>5.05</v>
      </c>
      <c r="H143" s="24"/>
    </row>
    <row r="144" spans="1:8" x14ac:dyDescent="0.2">
      <c r="A144" s="4" t="s">
        <v>62</v>
      </c>
      <c r="B144" s="4" t="s">
        <v>515</v>
      </c>
      <c r="C144" s="4" t="s">
        <v>203</v>
      </c>
      <c r="D144" s="113" t="s">
        <v>369</v>
      </c>
      <c r="E144" s="114"/>
      <c r="F144" s="4" t="s">
        <v>486</v>
      </c>
      <c r="G144" s="59">
        <v>4.1909999999999998</v>
      </c>
      <c r="H144" s="14">
        <v>0</v>
      </c>
    </row>
    <row r="145" spans="1:8" ht="12.2" customHeight="1" x14ac:dyDescent="0.2">
      <c r="D145" s="134" t="s">
        <v>620</v>
      </c>
      <c r="E145" s="135"/>
      <c r="F145" s="135"/>
      <c r="G145" s="43">
        <v>4.1909999999999998</v>
      </c>
    </row>
    <row r="146" spans="1:8" x14ac:dyDescent="0.2">
      <c r="A146" s="4" t="s">
        <v>63</v>
      </c>
      <c r="B146" s="4" t="s">
        <v>515</v>
      </c>
      <c r="C146" s="4" t="s">
        <v>204</v>
      </c>
      <c r="D146" s="113" t="s">
        <v>370</v>
      </c>
      <c r="E146" s="114"/>
      <c r="F146" s="4" t="s">
        <v>487</v>
      </c>
      <c r="G146" s="59">
        <v>97.346999999999994</v>
      </c>
      <c r="H146" s="14">
        <v>0</v>
      </c>
    </row>
    <row r="147" spans="1:8" ht="12.2" customHeight="1" x14ac:dyDescent="0.2">
      <c r="D147" s="134" t="s">
        <v>621</v>
      </c>
      <c r="E147" s="135"/>
      <c r="F147" s="135"/>
      <c r="G147" s="43">
        <v>97.346999999999994</v>
      </c>
    </row>
    <row r="148" spans="1:8" x14ac:dyDescent="0.2">
      <c r="A148" s="4" t="s">
        <v>64</v>
      </c>
      <c r="B148" s="4" t="s">
        <v>515</v>
      </c>
      <c r="C148" s="4" t="s">
        <v>205</v>
      </c>
      <c r="D148" s="113" t="s">
        <v>371</v>
      </c>
      <c r="E148" s="114"/>
      <c r="F148" s="4" t="s">
        <v>486</v>
      </c>
      <c r="G148" s="59">
        <v>80.31</v>
      </c>
      <c r="H148" s="14">
        <v>0</v>
      </c>
    </row>
    <row r="149" spans="1:8" ht="12.2" customHeight="1" x14ac:dyDescent="0.2">
      <c r="D149" s="134" t="s">
        <v>622</v>
      </c>
      <c r="E149" s="135"/>
      <c r="F149" s="135"/>
      <c r="G149" s="43">
        <v>80.31</v>
      </c>
    </row>
    <row r="150" spans="1:8" x14ac:dyDescent="0.2">
      <c r="A150" s="4" t="s">
        <v>65</v>
      </c>
      <c r="B150" s="4" t="s">
        <v>515</v>
      </c>
      <c r="C150" s="4" t="s">
        <v>206</v>
      </c>
      <c r="D150" s="113" t="s">
        <v>372</v>
      </c>
      <c r="E150" s="114"/>
      <c r="F150" s="4" t="s">
        <v>486</v>
      </c>
      <c r="G150" s="59">
        <v>384.46699999999998</v>
      </c>
      <c r="H150" s="14">
        <v>0</v>
      </c>
    </row>
    <row r="151" spans="1:8" ht="12.2" customHeight="1" x14ac:dyDescent="0.2">
      <c r="D151" s="134" t="s">
        <v>590</v>
      </c>
      <c r="E151" s="135"/>
      <c r="F151" s="135"/>
      <c r="G151" s="43">
        <v>384.46699999999998</v>
      </c>
    </row>
    <row r="152" spans="1:8" x14ac:dyDescent="0.2">
      <c r="A152" s="4" t="s">
        <v>66</v>
      </c>
      <c r="B152" s="4" t="s">
        <v>515</v>
      </c>
      <c r="C152" s="4" t="s">
        <v>207</v>
      </c>
      <c r="D152" s="113" t="s">
        <v>373</v>
      </c>
      <c r="E152" s="114"/>
      <c r="F152" s="4" t="s">
        <v>486</v>
      </c>
      <c r="G152" s="59">
        <v>464.77699999999999</v>
      </c>
      <c r="H152" s="14">
        <v>0</v>
      </c>
    </row>
    <row r="153" spans="1:8" ht="12.2" customHeight="1" x14ac:dyDescent="0.2">
      <c r="D153" s="134" t="s">
        <v>623</v>
      </c>
      <c r="E153" s="135"/>
      <c r="F153" s="135"/>
      <c r="G153" s="43">
        <v>464.77699999999999</v>
      </c>
    </row>
    <row r="154" spans="1:8" x14ac:dyDescent="0.2">
      <c r="A154" s="4" t="s">
        <v>67</v>
      </c>
      <c r="B154" s="4" t="s">
        <v>515</v>
      </c>
      <c r="C154" s="4" t="s">
        <v>208</v>
      </c>
      <c r="D154" s="113" t="s">
        <v>374</v>
      </c>
      <c r="E154" s="114"/>
      <c r="F154" s="4" t="s">
        <v>489</v>
      </c>
      <c r="G154" s="59">
        <v>400</v>
      </c>
      <c r="H154" s="14">
        <v>0</v>
      </c>
    </row>
    <row r="155" spans="1:8" ht="12.2" customHeight="1" x14ac:dyDescent="0.2">
      <c r="D155" s="134" t="s">
        <v>624</v>
      </c>
      <c r="E155" s="135"/>
      <c r="F155" s="135"/>
      <c r="G155" s="43">
        <v>400</v>
      </c>
    </row>
    <row r="156" spans="1:8" x14ac:dyDescent="0.2">
      <c r="A156" s="4" t="s">
        <v>68</v>
      </c>
      <c r="B156" s="4" t="s">
        <v>515</v>
      </c>
      <c r="C156" s="4" t="s">
        <v>209</v>
      </c>
      <c r="D156" s="113" t="s">
        <v>375</v>
      </c>
      <c r="E156" s="114"/>
      <c r="F156" s="4" t="s">
        <v>484</v>
      </c>
      <c r="G156" s="59">
        <v>119</v>
      </c>
      <c r="H156" s="14">
        <v>0</v>
      </c>
    </row>
    <row r="157" spans="1:8" ht="12.2" customHeight="1" x14ac:dyDescent="0.2">
      <c r="D157" s="134" t="s">
        <v>625</v>
      </c>
      <c r="E157" s="135"/>
      <c r="F157" s="135"/>
      <c r="G157" s="43">
        <v>119</v>
      </c>
    </row>
    <row r="158" spans="1:8" x14ac:dyDescent="0.2">
      <c r="A158" s="4" t="s">
        <v>69</v>
      </c>
      <c r="B158" s="4" t="s">
        <v>515</v>
      </c>
      <c r="C158" s="4" t="s">
        <v>210</v>
      </c>
      <c r="D158" s="113" t="s">
        <v>376</v>
      </c>
      <c r="E158" s="114"/>
      <c r="F158" s="4" t="s">
        <v>484</v>
      </c>
      <c r="G158" s="59">
        <v>44</v>
      </c>
      <c r="H158" s="14">
        <v>0</v>
      </c>
    </row>
    <row r="159" spans="1:8" ht="12.2" customHeight="1" x14ac:dyDescent="0.2">
      <c r="D159" s="134" t="s">
        <v>626</v>
      </c>
      <c r="E159" s="135"/>
      <c r="F159" s="135"/>
      <c r="G159" s="43">
        <v>44</v>
      </c>
    </row>
    <row r="160" spans="1:8" x14ac:dyDescent="0.2">
      <c r="A160" s="4" t="s">
        <v>70</v>
      </c>
      <c r="B160" s="4" t="s">
        <v>515</v>
      </c>
      <c r="C160" s="4" t="s">
        <v>211</v>
      </c>
      <c r="D160" s="113" t="s">
        <v>377</v>
      </c>
      <c r="E160" s="114"/>
      <c r="F160" s="4" t="s">
        <v>484</v>
      </c>
      <c r="G160" s="59">
        <v>2</v>
      </c>
      <c r="H160" s="14">
        <v>0</v>
      </c>
    </row>
    <row r="161" spans="1:8" ht="12.2" customHeight="1" x14ac:dyDescent="0.2">
      <c r="D161" s="134" t="s">
        <v>627</v>
      </c>
      <c r="E161" s="135"/>
      <c r="F161" s="135"/>
      <c r="G161" s="43">
        <v>2</v>
      </c>
    </row>
    <row r="162" spans="1:8" x14ac:dyDescent="0.2">
      <c r="A162" s="4" t="s">
        <v>71</v>
      </c>
      <c r="B162" s="4" t="s">
        <v>515</v>
      </c>
      <c r="C162" s="4" t="s">
        <v>212</v>
      </c>
      <c r="D162" s="113" t="s">
        <v>378</v>
      </c>
      <c r="E162" s="114"/>
      <c r="F162" s="4" t="s">
        <v>486</v>
      </c>
      <c r="G162" s="59">
        <v>4.68</v>
      </c>
      <c r="H162" s="14">
        <v>0</v>
      </c>
    </row>
    <row r="163" spans="1:8" ht="12.2" customHeight="1" x14ac:dyDescent="0.2">
      <c r="D163" s="134" t="s">
        <v>628</v>
      </c>
      <c r="E163" s="135"/>
      <c r="F163" s="135"/>
      <c r="G163" s="43">
        <v>4.68</v>
      </c>
    </row>
    <row r="164" spans="1:8" x14ac:dyDescent="0.2">
      <c r="A164" s="4" t="s">
        <v>72</v>
      </c>
      <c r="B164" s="4" t="s">
        <v>515</v>
      </c>
      <c r="C164" s="4" t="s">
        <v>213</v>
      </c>
      <c r="D164" s="113" t="s">
        <v>379</v>
      </c>
      <c r="E164" s="114"/>
      <c r="F164" s="4" t="s">
        <v>486</v>
      </c>
      <c r="G164" s="59">
        <v>108.15</v>
      </c>
      <c r="H164" s="14">
        <v>0</v>
      </c>
    </row>
    <row r="165" spans="1:8" ht="12.2" customHeight="1" x14ac:dyDescent="0.2">
      <c r="D165" s="134" t="s">
        <v>629</v>
      </c>
      <c r="E165" s="135"/>
      <c r="F165" s="135"/>
      <c r="G165" s="43">
        <v>108.15</v>
      </c>
    </row>
    <row r="166" spans="1:8" x14ac:dyDescent="0.2">
      <c r="A166" s="4" t="s">
        <v>73</v>
      </c>
      <c r="B166" s="4" t="s">
        <v>515</v>
      </c>
      <c r="C166" s="4" t="s">
        <v>214</v>
      </c>
      <c r="D166" s="113" t="s">
        <v>380</v>
      </c>
      <c r="E166" s="114"/>
      <c r="F166" s="4" t="s">
        <v>486</v>
      </c>
      <c r="G166" s="59">
        <v>10.68</v>
      </c>
      <c r="H166" s="14">
        <v>0</v>
      </c>
    </row>
    <row r="167" spans="1:8" ht="12.2" customHeight="1" x14ac:dyDescent="0.2">
      <c r="D167" s="134" t="s">
        <v>630</v>
      </c>
      <c r="E167" s="135"/>
      <c r="F167" s="135"/>
      <c r="G167" s="43">
        <v>10.68</v>
      </c>
    </row>
    <row r="168" spans="1:8" x14ac:dyDescent="0.2">
      <c r="A168" s="4" t="s">
        <v>74</v>
      </c>
      <c r="B168" s="4" t="s">
        <v>515</v>
      </c>
      <c r="C168" s="4" t="s">
        <v>215</v>
      </c>
      <c r="D168" s="113" t="s">
        <v>381</v>
      </c>
      <c r="E168" s="114"/>
      <c r="F168" s="4" t="s">
        <v>486</v>
      </c>
      <c r="G168" s="59">
        <v>75.75</v>
      </c>
      <c r="H168" s="14">
        <v>0</v>
      </c>
    </row>
    <row r="169" spans="1:8" ht="12.2" customHeight="1" x14ac:dyDescent="0.2">
      <c r="D169" s="134" t="s">
        <v>631</v>
      </c>
      <c r="E169" s="135"/>
      <c r="F169" s="135"/>
      <c r="G169" s="43">
        <v>75.75</v>
      </c>
    </row>
    <row r="170" spans="1:8" x14ac:dyDescent="0.2">
      <c r="A170" s="4" t="s">
        <v>75</v>
      </c>
      <c r="B170" s="4" t="s">
        <v>515</v>
      </c>
      <c r="C170" s="4" t="s">
        <v>216</v>
      </c>
      <c r="D170" s="113" t="s">
        <v>382</v>
      </c>
      <c r="E170" s="114"/>
      <c r="F170" s="4" t="s">
        <v>486</v>
      </c>
      <c r="G170" s="59">
        <v>6.8680000000000003</v>
      </c>
      <c r="H170" s="14">
        <v>0</v>
      </c>
    </row>
    <row r="171" spans="1:8" ht="12.2" customHeight="1" x14ac:dyDescent="0.2">
      <c r="D171" s="134" t="s">
        <v>632</v>
      </c>
      <c r="E171" s="135"/>
      <c r="F171" s="135"/>
      <c r="G171" s="43">
        <v>6.8680000000000003</v>
      </c>
    </row>
    <row r="172" spans="1:8" x14ac:dyDescent="0.2">
      <c r="A172" s="4" t="s">
        <v>76</v>
      </c>
      <c r="B172" s="4" t="s">
        <v>515</v>
      </c>
      <c r="C172" s="4" t="s">
        <v>217</v>
      </c>
      <c r="D172" s="113" t="s">
        <v>383</v>
      </c>
      <c r="E172" s="114"/>
      <c r="F172" s="4" t="s">
        <v>486</v>
      </c>
      <c r="G172" s="59">
        <v>3.36</v>
      </c>
      <c r="H172" s="14">
        <v>0</v>
      </c>
    </row>
    <row r="173" spans="1:8" ht="12.2" customHeight="1" x14ac:dyDescent="0.2">
      <c r="D173" s="134" t="s">
        <v>633</v>
      </c>
      <c r="E173" s="135"/>
      <c r="F173" s="135"/>
      <c r="G173" s="43">
        <v>3.36</v>
      </c>
    </row>
    <row r="174" spans="1:8" x14ac:dyDescent="0.2">
      <c r="A174" s="4" t="s">
        <v>77</v>
      </c>
      <c r="B174" s="4" t="s">
        <v>515</v>
      </c>
      <c r="C174" s="4" t="s">
        <v>218</v>
      </c>
      <c r="D174" s="113" t="s">
        <v>384</v>
      </c>
      <c r="E174" s="114"/>
      <c r="F174" s="4" t="s">
        <v>486</v>
      </c>
      <c r="G174" s="59">
        <v>10.035</v>
      </c>
      <c r="H174" s="14">
        <v>0</v>
      </c>
    </row>
    <row r="175" spans="1:8" ht="12.2" customHeight="1" x14ac:dyDescent="0.2">
      <c r="D175" s="134" t="s">
        <v>634</v>
      </c>
      <c r="E175" s="135"/>
      <c r="F175" s="135"/>
      <c r="G175" s="43">
        <v>10.035</v>
      </c>
    </row>
    <row r="176" spans="1:8" x14ac:dyDescent="0.2">
      <c r="A176" s="4" t="s">
        <v>78</v>
      </c>
      <c r="B176" s="4" t="s">
        <v>515</v>
      </c>
      <c r="C176" s="4" t="s">
        <v>219</v>
      </c>
      <c r="D176" s="113" t="s">
        <v>385</v>
      </c>
      <c r="E176" s="114"/>
      <c r="F176" s="4" t="s">
        <v>484</v>
      </c>
      <c r="G176" s="59">
        <v>1</v>
      </c>
      <c r="H176" s="14">
        <v>0</v>
      </c>
    </row>
    <row r="177" spans="1:8" x14ac:dyDescent="0.2">
      <c r="A177" s="4" t="s">
        <v>79</v>
      </c>
      <c r="B177" s="4" t="s">
        <v>515</v>
      </c>
      <c r="C177" s="4" t="s">
        <v>220</v>
      </c>
      <c r="D177" s="113" t="s">
        <v>386</v>
      </c>
      <c r="E177" s="114"/>
      <c r="F177" s="4" t="s">
        <v>484</v>
      </c>
      <c r="G177" s="59">
        <v>1</v>
      </c>
      <c r="H177" s="14">
        <v>0</v>
      </c>
    </row>
    <row r="178" spans="1:8" x14ac:dyDescent="0.2">
      <c r="A178" s="4" t="s">
        <v>80</v>
      </c>
      <c r="B178" s="4" t="s">
        <v>515</v>
      </c>
      <c r="C178" s="4" t="s">
        <v>221</v>
      </c>
      <c r="D178" s="113" t="s">
        <v>388</v>
      </c>
      <c r="E178" s="114"/>
      <c r="F178" s="4" t="s">
        <v>484</v>
      </c>
      <c r="G178" s="59">
        <v>1</v>
      </c>
      <c r="H178" s="14">
        <v>0</v>
      </c>
    </row>
    <row r="179" spans="1:8" x14ac:dyDescent="0.2">
      <c r="A179" s="4" t="s">
        <v>81</v>
      </c>
      <c r="B179" s="4" t="s">
        <v>515</v>
      </c>
      <c r="C179" s="4" t="s">
        <v>222</v>
      </c>
      <c r="D179" s="113" t="s">
        <v>389</v>
      </c>
      <c r="E179" s="114"/>
      <c r="F179" s="4" t="s">
        <v>484</v>
      </c>
      <c r="G179" s="59">
        <v>1</v>
      </c>
      <c r="H179" s="14">
        <v>0</v>
      </c>
    </row>
    <row r="180" spans="1:8" x14ac:dyDescent="0.2">
      <c r="A180" s="4" t="s">
        <v>82</v>
      </c>
      <c r="B180" s="4" t="s">
        <v>515</v>
      </c>
      <c r="C180" s="4" t="s">
        <v>223</v>
      </c>
      <c r="D180" s="113" t="s">
        <v>390</v>
      </c>
      <c r="E180" s="114"/>
      <c r="F180" s="4" t="s">
        <v>484</v>
      </c>
      <c r="G180" s="59">
        <v>1</v>
      </c>
      <c r="H180" s="14">
        <v>0</v>
      </c>
    </row>
    <row r="181" spans="1:8" x14ac:dyDescent="0.2">
      <c r="A181" s="4" t="s">
        <v>83</v>
      </c>
      <c r="B181" s="4" t="s">
        <v>515</v>
      </c>
      <c r="C181" s="4" t="s">
        <v>224</v>
      </c>
      <c r="D181" s="113" t="s">
        <v>392</v>
      </c>
      <c r="E181" s="114"/>
      <c r="F181" s="4" t="s">
        <v>484</v>
      </c>
      <c r="G181" s="59">
        <v>1</v>
      </c>
      <c r="H181" s="14">
        <v>0</v>
      </c>
    </row>
    <row r="182" spans="1:8" x14ac:dyDescent="0.2">
      <c r="A182" s="4" t="s">
        <v>84</v>
      </c>
      <c r="B182" s="4" t="s">
        <v>515</v>
      </c>
      <c r="C182" s="4" t="s">
        <v>225</v>
      </c>
      <c r="D182" s="113" t="s">
        <v>393</v>
      </c>
      <c r="E182" s="114"/>
      <c r="F182" s="4" t="s">
        <v>484</v>
      </c>
      <c r="G182" s="59">
        <v>1</v>
      </c>
      <c r="H182" s="14">
        <v>0</v>
      </c>
    </row>
    <row r="183" spans="1:8" x14ac:dyDescent="0.2">
      <c r="A183" s="4" t="s">
        <v>85</v>
      </c>
      <c r="B183" s="4" t="s">
        <v>515</v>
      </c>
      <c r="C183" s="4" t="s">
        <v>226</v>
      </c>
      <c r="D183" s="113" t="s">
        <v>395</v>
      </c>
      <c r="E183" s="114"/>
      <c r="F183" s="4" t="s">
        <v>484</v>
      </c>
      <c r="G183" s="59">
        <v>1</v>
      </c>
      <c r="H183" s="14">
        <v>0</v>
      </c>
    </row>
    <row r="184" spans="1:8" x14ac:dyDescent="0.2">
      <c r="A184" s="10"/>
      <c r="B184" s="10"/>
      <c r="C184" s="10" t="s">
        <v>103</v>
      </c>
      <c r="D184" s="120" t="s">
        <v>397</v>
      </c>
      <c r="E184" s="121"/>
      <c r="F184" s="10"/>
      <c r="G184" s="61"/>
      <c r="H184" s="23"/>
    </row>
    <row r="185" spans="1:8" x14ac:dyDescent="0.2">
      <c r="A185" s="4" t="s">
        <v>86</v>
      </c>
      <c r="B185" s="4" t="s">
        <v>515</v>
      </c>
      <c r="C185" s="4" t="s">
        <v>227</v>
      </c>
      <c r="D185" s="113" t="s">
        <v>398</v>
      </c>
      <c r="E185" s="114"/>
      <c r="F185" s="4" t="s">
        <v>486</v>
      </c>
      <c r="G185" s="59">
        <v>313.16000000000003</v>
      </c>
      <c r="H185" s="14">
        <v>0</v>
      </c>
    </row>
    <row r="186" spans="1:8" ht="12.2" customHeight="1" x14ac:dyDescent="0.2">
      <c r="D186" s="134" t="s">
        <v>635</v>
      </c>
      <c r="E186" s="135"/>
      <c r="F186" s="135"/>
      <c r="G186" s="43">
        <v>313.16000000000003</v>
      </c>
    </row>
    <row r="187" spans="1:8" x14ac:dyDescent="0.2">
      <c r="A187" s="4" t="s">
        <v>87</v>
      </c>
      <c r="B187" s="4" t="s">
        <v>515</v>
      </c>
      <c r="C187" s="4" t="s">
        <v>228</v>
      </c>
      <c r="D187" s="113" t="s">
        <v>399</v>
      </c>
      <c r="E187" s="114"/>
      <c r="F187" s="4" t="s">
        <v>486</v>
      </c>
      <c r="G187" s="59">
        <v>578.17499999999995</v>
      </c>
      <c r="H187" s="14">
        <v>0</v>
      </c>
    </row>
    <row r="188" spans="1:8" ht="12.2" customHeight="1" x14ac:dyDescent="0.2">
      <c r="D188" s="134" t="s">
        <v>636</v>
      </c>
      <c r="E188" s="135"/>
      <c r="F188" s="135"/>
      <c r="G188" s="43">
        <v>528.70100000000002</v>
      </c>
    </row>
    <row r="189" spans="1:8" ht="12.2" customHeight="1" x14ac:dyDescent="0.2">
      <c r="A189" s="4"/>
      <c r="B189" s="4"/>
      <c r="C189" s="4"/>
      <c r="D189" s="134" t="s">
        <v>637</v>
      </c>
      <c r="E189" s="135"/>
      <c r="F189" s="134"/>
      <c r="G189" s="60">
        <v>-76.837999999999994</v>
      </c>
      <c r="H189" s="24"/>
    </row>
    <row r="190" spans="1:8" ht="12.2" customHeight="1" x14ac:dyDescent="0.2">
      <c r="A190" s="4"/>
      <c r="B190" s="4"/>
      <c r="C190" s="4"/>
      <c r="D190" s="134" t="s">
        <v>638</v>
      </c>
      <c r="E190" s="135"/>
      <c r="F190" s="134"/>
      <c r="G190" s="60">
        <v>43.694000000000003</v>
      </c>
      <c r="H190" s="24"/>
    </row>
    <row r="191" spans="1:8" ht="12.2" customHeight="1" x14ac:dyDescent="0.2">
      <c r="A191" s="4"/>
      <c r="B191" s="4"/>
      <c r="C191" s="4"/>
      <c r="D191" s="134" t="s">
        <v>639</v>
      </c>
      <c r="E191" s="135"/>
      <c r="F191" s="134"/>
      <c r="G191" s="60">
        <v>82.617999999999995</v>
      </c>
      <c r="H191" s="24"/>
    </row>
    <row r="192" spans="1:8" x14ac:dyDescent="0.2">
      <c r="A192" s="4" t="s">
        <v>88</v>
      </c>
      <c r="B192" s="4" t="s">
        <v>515</v>
      </c>
      <c r="C192" s="4" t="s">
        <v>229</v>
      </c>
      <c r="D192" s="113" t="s">
        <v>400</v>
      </c>
      <c r="E192" s="114"/>
      <c r="F192" s="4" t="s">
        <v>486</v>
      </c>
      <c r="G192" s="59">
        <v>147.78299999999999</v>
      </c>
      <c r="H192" s="14">
        <v>0</v>
      </c>
    </row>
    <row r="193" spans="1:8" ht="12.2" customHeight="1" x14ac:dyDescent="0.2">
      <c r="D193" s="134" t="s">
        <v>640</v>
      </c>
      <c r="E193" s="135"/>
      <c r="F193" s="135"/>
      <c r="G193" s="43">
        <v>94.957999999999998</v>
      </c>
    </row>
    <row r="194" spans="1:8" ht="12.2" customHeight="1" x14ac:dyDescent="0.2">
      <c r="A194" s="4"/>
      <c r="B194" s="4"/>
      <c r="C194" s="4"/>
      <c r="D194" s="134" t="s">
        <v>641</v>
      </c>
      <c r="E194" s="135"/>
      <c r="F194" s="134"/>
      <c r="G194" s="60">
        <v>52.825000000000003</v>
      </c>
      <c r="H194" s="24"/>
    </row>
    <row r="195" spans="1:8" x14ac:dyDescent="0.2">
      <c r="A195" s="4" t="s">
        <v>89</v>
      </c>
      <c r="B195" s="4" t="s">
        <v>515</v>
      </c>
      <c r="C195" s="4" t="s">
        <v>230</v>
      </c>
      <c r="D195" s="113" t="s">
        <v>401</v>
      </c>
      <c r="E195" s="114"/>
      <c r="F195" s="4" t="s">
        <v>486</v>
      </c>
      <c r="G195" s="59">
        <v>14.7</v>
      </c>
      <c r="H195" s="14">
        <v>0</v>
      </c>
    </row>
    <row r="196" spans="1:8" ht="12.2" customHeight="1" x14ac:dyDescent="0.2">
      <c r="D196" s="134" t="s">
        <v>642</v>
      </c>
      <c r="E196" s="135"/>
      <c r="F196" s="135"/>
      <c r="G196" s="43">
        <v>14.7</v>
      </c>
    </row>
    <row r="197" spans="1:8" x14ac:dyDescent="0.2">
      <c r="A197" s="4" t="s">
        <v>90</v>
      </c>
      <c r="B197" s="4" t="s">
        <v>515</v>
      </c>
      <c r="C197" s="4" t="s">
        <v>231</v>
      </c>
      <c r="D197" s="113" t="s">
        <v>402</v>
      </c>
      <c r="E197" s="114"/>
      <c r="F197" s="4" t="s">
        <v>486</v>
      </c>
      <c r="G197" s="59">
        <v>37.429000000000002</v>
      </c>
      <c r="H197" s="14">
        <v>0</v>
      </c>
    </row>
    <row r="198" spans="1:8" ht="12.2" customHeight="1" x14ac:dyDescent="0.2">
      <c r="D198" s="134" t="s">
        <v>643</v>
      </c>
      <c r="E198" s="135"/>
      <c r="F198" s="135"/>
      <c r="G198" s="43">
        <v>21.609000000000002</v>
      </c>
    </row>
    <row r="199" spans="1:8" ht="12.2" customHeight="1" x14ac:dyDescent="0.2">
      <c r="A199" s="4"/>
      <c r="B199" s="4"/>
      <c r="C199" s="4"/>
      <c r="D199" s="134" t="s">
        <v>644</v>
      </c>
      <c r="E199" s="135"/>
      <c r="F199" s="134"/>
      <c r="G199" s="60">
        <v>15.82</v>
      </c>
      <c r="H199" s="24"/>
    </row>
    <row r="200" spans="1:8" x14ac:dyDescent="0.2">
      <c r="A200" s="4" t="s">
        <v>91</v>
      </c>
      <c r="B200" s="4" t="s">
        <v>515</v>
      </c>
      <c r="C200" s="4" t="s">
        <v>232</v>
      </c>
      <c r="D200" s="113" t="s">
        <v>403</v>
      </c>
      <c r="E200" s="114"/>
      <c r="F200" s="4" t="s">
        <v>486</v>
      </c>
      <c r="G200" s="59">
        <v>45</v>
      </c>
      <c r="H200" s="14">
        <v>0</v>
      </c>
    </row>
    <row r="201" spans="1:8" ht="12.2" customHeight="1" x14ac:dyDescent="0.2">
      <c r="D201" s="134" t="s">
        <v>561</v>
      </c>
      <c r="E201" s="135"/>
      <c r="F201" s="135"/>
      <c r="G201" s="43">
        <v>45</v>
      </c>
    </row>
    <row r="202" spans="1:8" x14ac:dyDescent="0.2">
      <c r="A202" s="10"/>
      <c r="B202" s="10"/>
      <c r="C202" s="10" t="s">
        <v>233</v>
      </c>
      <c r="D202" s="120" t="s">
        <v>404</v>
      </c>
      <c r="E202" s="121"/>
      <c r="F202" s="10"/>
      <c r="G202" s="61"/>
      <c r="H202" s="23"/>
    </row>
    <row r="203" spans="1:8" x14ac:dyDescent="0.2">
      <c r="A203" s="4" t="s">
        <v>92</v>
      </c>
      <c r="B203" s="4" t="s">
        <v>515</v>
      </c>
      <c r="C203" s="4" t="s">
        <v>234</v>
      </c>
      <c r="D203" s="113" t="s">
        <v>405</v>
      </c>
      <c r="E203" s="114"/>
      <c r="F203" s="4" t="s">
        <v>488</v>
      </c>
      <c r="G203" s="59">
        <v>3.3260000000000001</v>
      </c>
      <c r="H203" s="14">
        <v>0</v>
      </c>
    </row>
    <row r="204" spans="1:8" ht="12.2" customHeight="1" x14ac:dyDescent="0.2">
      <c r="D204" s="134" t="s">
        <v>645</v>
      </c>
      <c r="E204" s="135"/>
      <c r="F204" s="135"/>
      <c r="G204" s="43">
        <v>3.3260000000000001</v>
      </c>
    </row>
    <row r="205" spans="1:8" x14ac:dyDescent="0.2">
      <c r="A205" s="10"/>
      <c r="B205" s="10"/>
      <c r="C205" s="10" t="s">
        <v>235</v>
      </c>
      <c r="D205" s="120" t="s">
        <v>406</v>
      </c>
      <c r="E205" s="121"/>
      <c r="F205" s="10"/>
      <c r="G205" s="61"/>
      <c r="H205" s="23"/>
    </row>
    <row r="206" spans="1:8" x14ac:dyDescent="0.2">
      <c r="A206" s="4" t="s">
        <v>93</v>
      </c>
      <c r="B206" s="4" t="s">
        <v>515</v>
      </c>
      <c r="C206" s="4" t="s">
        <v>236</v>
      </c>
      <c r="D206" s="113" t="s">
        <v>407</v>
      </c>
      <c r="E206" s="114"/>
      <c r="F206" s="4" t="s">
        <v>488</v>
      </c>
      <c r="G206" s="59">
        <v>1.034</v>
      </c>
      <c r="H206" s="14">
        <v>0</v>
      </c>
    </row>
    <row r="207" spans="1:8" ht="12.2" customHeight="1" x14ac:dyDescent="0.2">
      <c r="D207" s="134" t="s">
        <v>646</v>
      </c>
      <c r="E207" s="135"/>
      <c r="F207" s="135"/>
      <c r="G207" s="43">
        <v>1.034</v>
      </c>
    </row>
    <row r="208" spans="1:8" x14ac:dyDescent="0.2">
      <c r="A208" s="10"/>
      <c r="B208" s="10"/>
      <c r="C208" s="10" t="s">
        <v>237</v>
      </c>
      <c r="D208" s="120" t="s">
        <v>408</v>
      </c>
      <c r="E208" s="121"/>
      <c r="F208" s="10"/>
      <c r="G208" s="61"/>
      <c r="H208" s="23"/>
    </row>
    <row r="209" spans="1:8" x14ac:dyDescent="0.2">
      <c r="A209" s="4" t="s">
        <v>94</v>
      </c>
      <c r="B209" s="4" t="s">
        <v>515</v>
      </c>
      <c r="C209" s="4" t="s">
        <v>238</v>
      </c>
      <c r="D209" s="113" t="s">
        <v>409</v>
      </c>
      <c r="E209" s="114"/>
      <c r="F209" s="4" t="s">
        <v>488</v>
      </c>
      <c r="G209" s="59">
        <v>308.71100000000001</v>
      </c>
      <c r="H209" s="14">
        <v>0</v>
      </c>
    </row>
    <row r="210" spans="1:8" ht="12.2" customHeight="1" x14ac:dyDescent="0.2">
      <c r="D210" s="134" t="s">
        <v>647</v>
      </c>
      <c r="E210" s="135"/>
      <c r="F210" s="135"/>
      <c r="G210" s="43">
        <v>308.71100000000001</v>
      </c>
    </row>
    <row r="211" spans="1:8" x14ac:dyDescent="0.2">
      <c r="A211" s="4" t="s">
        <v>95</v>
      </c>
      <c r="B211" s="4" t="s">
        <v>515</v>
      </c>
      <c r="C211" s="4" t="s">
        <v>239</v>
      </c>
      <c r="D211" s="113" t="s">
        <v>410</v>
      </c>
      <c r="E211" s="114"/>
      <c r="F211" s="4" t="s">
        <v>488</v>
      </c>
      <c r="G211" s="59">
        <v>995.84100000000001</v>
      </c>
      <c r="H211" s="14">
        <v>0</v>
      </c>
    </row>
    <row r="212" spans="1:8" ht="12.2" customHeight="1" x14ac:dyDescent="0.2">
      <c r="D212" s="134" t="s">
        <v>648</v>
      </c>
      <c r="E212" s="135"/>
      <c r="F212" s="135"/>
      <c r="G212" s="43">
        <v>995.84100000000001</v>
      </c>
    </row>
    <row r="213" spans="1:8" x14ac:dyDescent="0.2">
      <c r="A213" s="4" t="s">
        <v>96</v>
      </c>
      <c r="B213" s="4" t="s">
        <v>515</v>
      </c>
      <c r="C213" s="4" t="s">
        <v>240</v>
      </c>
      <c r="D213" s="113" t="s">
        <v>411</v>
      </c>
      <c r="E213" s="114"/>
      <c r="F213" s="4" t="s">
        <v>488</v>
      </c>
      <c r="G213" s="59">
        <v>8962.5689999999995</v>
      </c>
      <c r="H213" s="14">
        <v>0</v>
      </c>
    </row>
    <row r="214" spans="1:8" ht="12.2" customHeight="1" x14ac:dyDescent="0.2">
      <c r="D214" s="134" t="s">
        <v>649</v>
      </c>
      <c r="E214" s="135"/>
      <c r="F214" s="135"/>
      <c r="G214" s="43">
        <v>8962.5689999999995</v>
      </c>
    </row>
    <row r="215" spans="1:8" x14ac:dyDescent="0.2">
      <c r="A215" s="4" t="s">
        <v>97</v>
      </c>
      <c r="B215" s="4" t="s">
        <v>515</v>
      </c>
      <c r="C215" s="4" t="s">
        <v>241</v>
      </c>
      <c r="D215" s="113" t="s">
        <v>412</v>
      </c>
      <c r="E215" s="114"/>
      <c r="F215" s="4" t="s">
        <v>488</v>
      </c>
      <c r="G215" s="59">
        <v>995.84100000000001</v>
      </c>
      <c r="H215" s="14">
        <v>0</v>
      </c>
    </row>
    <row r="216" spans="1:8" ht="12.2" customHeight="1" x14ac:dyDescent="0.2">
      <c r="D216" s="134" t="s">
        <v>648</v>
      </c>
      <c r="E216" s="135"/>
      <c r="F216" s="135"/>
      <c r="G216" s="43">
        <v>995.84100000000001</v>
      </c>
    </row>
    <row r="217" spans="1:8" x14ac:dyDescent="0.2">
      <c r="A217" s="4" t="s">
        <v>98</v>
      </c>
      <c r="B217" s="4" t="s">
        <v>515</v>
      </c>
      <c r="C217" s="4" t="s">
        <v>242</v>
      </c>
      <c r="D217" s="113" t="s">
        <v>413</v>
      </c>
      <c r="E217" s="114"/>
      <c r="F217" s="4" t="s">
        <v>488</v>
      </c>
      <c r="G217" s="59">
        <v>3983.364</v>
      </c>
      <c r="H217" s="14">
        <v>0</v>
      </c>
    </row>
    <row r="218" spans="1:8" ht="12.2" customHeight="1" x14ac:dyDescent="0.2">
      <c r="D218" s="134" t="s">
        <v>650</v>
      </c>
      <c r="E218" s="135"/>
      <c r="F218" s="135"/>
      <c r="G218" s="43">
        <v>3983.364</v>
      </c>
    </row>
    <row r="219" spans="1:8" x14ac:dyDescent="0.2">
      <c r="A219" s="4" t="s">
        <v>99</v>
      </c>
      <c r="B219" s="4" t="s">
        <v>515</v>
      </c>
      <c r="C219" s="4" t="s">
        <v>243</v>
      </c>
      <c r="D219" s="113" t="s">
        <v>414</v>
      </c>
      <c r="E219" s="114"/>
      <c r="F219" s="4" t="s">
        <v>488</v>
      </c>
      <c r="G219" s="59">
        <v>995.84100000000001</v>
      </c>
      <c r="H219" s="14">
        <v>0</v>
      </c>
    </row>
    <row r="220" spans="1:8" ht="12.2" customHeight="1" x14ac:dyDescent="0.2">
      <c r="D220" s="134" t="s">
        <v>648</v>
      </c>
      <c r="E220" s="135"/>
      <c r="F220" s="135"/>
      <c r="G220" s="43">
        <v>995.84100000000001</v>
      </c>
    </row>
    <row r="221" spans="1:8" x14ac:dyDescent="0.2">
      <c r="A221" s="4" t="s">
        <v>100</v>
      </c>
      <c r="B221" s="4" t="s">
        <v>515</v>
      </c>
      <c r="C221" s="4" t="s">
        <v>244</v>
      </c>
      <c r="D221" s="113" t="s">
        <v>415</v>
      </c>
      <c r="E221" s="114"/>
      <c r="F221" s="4" t="s">
        <v>488</v>
      </c>
      <c r="G221" s="59">
        <v>10.465999999999999</v>
      </c>
      <c r="H221" s="14">
        <v>0</v>
      </c>
    </row>
    <row r="222" spans="1:8" ht="12.2" customHeight="1" x14ac:dyDescent="0.2">
      <c r="D222" s="134" t="s">
        <v>651</v>
      </c>
      <c r="E222" s="135"/>
      <c r="F222" s="135"/>
      <c r="G222" s="43">
        <v>10.465999999999999</v>
      </c>
    </row>
    <row r="223" spans="1:8" x14ac:dyDescent="0.2">
      <c r="A223" s="4" t="s">
        <v>101</v>
      </c>
      <c r="B223" s="4" t="s">
        <v>515</v>
      </c>
      <c r="C223" s="4" t="s">
        <v>245</v>
      </c>
      <c r="D223" s="113" t="s">
        <v>416</v>
      </c>
      <c r="E223" s="114"/>
      <c r="F223" s="4" t="s">
        <v>488</v>
      </c>
      <c r="G223" s="59">
        <v>125.592</v>
      </c>
      <c r="H223" s="14">
        <v>0</v>
      </c>
    </row>
    <row r="224" spans="1:8" ht="12.2" customHeight="1" x14ac:dyDescent="0.2">
      <c r="D224" s="134" t="s">
        <v>652</v>
      </c>
      <c r="E224" s="135"/>
      <c r="F224" s="135"/>
      <c r="G224" s="43">
        <v>125.592</v>
      </c>
    </row>
    <row r="225" spans="1:8" x14ac:dyDescent="0.2">
      <c r="A225" s="4" t="s">
        <v>102</v>
      </c>
      <c r="B225" s="4" t="s">
        <v>515</v>
      </c>
      <c r="C225" s="4" t="s">
        <v>246</v>
      </c>
      <c r="D225" s="113" t="s">
        <v>417</v>
      </c>
      <c r="E225" s="114"/>
      <c r="F225" s="4" t="s">
        <v>488</v>
      </c>
      <c r="G225" s="59">
        <v>995.84100000000001</v>
      </c>
      <c r="H225" s="14">
        <v>0</v>
      </c>
    </row>
    <row r="226" spans="1:8" ht="12.2" customHeight="1" x14ac:dyDescent="0.2">
      <c r="D226" s="134" t="s">
        <v>648</v>
      </c>
      <c r="E226" s="135"/>
      <c r="F226" s="135"/>
      <c r="G226" s="43">
        <v>995.84100000000001</v>
      </c>
    </row>
    <row r="227" spans="1:8" x14ac:dyDescent="0.2">
      <c r="A227" s="4" t="s">
        <v>103</v>
      </c>
      <c r="B227" s="4" t="s">
        <v>515</v>
      </c>
      <c r="C227" s="4" t="s">
        <v>247</v>
      </c>
      <c r="D227" s="113" t="s">
        <v>418</v>
      </c>
      <c r="E227" s="114"/>
      <c r="F227" s="4" t="s">
        <v>488</v>
      </c>
      <c r="G227" s="59">
        <v>18.707000000000001</v>
      </c>
      <c r="H227" s="14">
        <v>0</v>
      </c>
    </row>
    <row r="228" spans="1:8" ht="12.2" customHeight="1" x14ac:dyDescent="0.2">
      <c r="D228" s="134" t="s">
        <v>653</v>
      </c>
      <c r="E228" s="135"/>
      <c r="F228" s="135"/>
      <c r="G228" s="43">
        <v>18.707000000000001</v>
      </c>
    </row>
    <row r="229" spans="1:8" x14ac:dyDescent="0.2">
      <c r="A229" s="4" t="s">
        <v>104</v>
      </c>
      <c r="B229" s="4" t="s">
        <v>515</v>
      </c>
      <c r="C229" s="4" t="s">
        <v>248</v>
      </c>
      <c r="D229" s="113" t="s">
        <v>419</v>
      </c>
      <c r="E229" s="114"/>
      <c r="F229" s="4" t="s">
        <v>488</v>
      </c>
      <c r="G229" s="59">
        <v>166.892</v>
      </c>
      <c r="H229" s="14">
        <v>0</v>
      </c>
    </row>
    <row r="230" spans="1:8" ht="12.2" customHeight="1" x14ac:dyDescent="0.2">
      <c r="D230" s="134" t="s">
        <v>654</v>
      </c>
      <c r="E230" s="135"/>
      <c r="F230" s="135"/>
      <c r="G230" s="43">
        <v>166.892</v>
      </c>
    </row>
    <row r="231" spans="1:8" x14ac:dyDescent="0.2">
      <c r="A231" s="4" t="s">
        <v>105</v>
      </c>
      <c r="B231" s="4" t="s">
        <v>515</v>
      </c>
      <c r="C231" s="4" t="s">
        <v>249</v>
      </c>
      <c r="D231" s="113" t="s">
        <v>420</v>
      </c>
      <c r="E231" s="114"/>
      <c r="F231" s="4" t="s">
        <v>488</v>
      </c>
      <c r="G231" s="59">
        <v>224.6</v>
      </c>
      <c r="H231" s="14">
        <v>0</v>
      </c>
    </row>
    <row r="232" spans="1:8" ht="12.2" customHeight="1" x14ac:dyDescent="0.2">
      <c r="D232" s="134" t="s">
        <v>655</v>
      </c>
      <c r="E232" s="135"/>
      <c r="F232" s="135"/>
      <c r="G232" s="43">
        <v>224.6</v>
      </c>
    </row>
    <row r="233" spans="1:8" x14ac:dyDescent="0.2">
      <c r="A233" s="4" t="s">
        <v>106</v>
      </c>
      <c r="B233" s="4" t="s">
        <v>515</v>
      </c>
      <c r="C233" s="4" t="s">
        <v>250</v>
      </c>
      <c r="D233" s="113" t="s">
        <v>421</v>
      </c>
      <c r="E233" s="114"/>
      <c r="F233" s="4" t="s">
        <v>488</v>
      </c>
      <c r="G233" s="59">
        <v>262.26299999999998</v>
      </c>
      <c r="H233" s="14">
        <v>0</v>
      </c>
    </row>
    <row r="234" spans="1:8" ht="12.2" customHeight="1" x14ac:dyDescent="0.2">
      <c r="D234" s="134" t="s">
        <v>656</v>
      </c>
      <c r="E234" s="135"/>
      <c r="F234" s="135"/>
      <c r="G234" s="43">
        <v>262.26299999999998</v>
      </c>
    </row>
    <row r="235" spans="1:8" x14ac:dyDescent="0.2">
      <c r="A235" s="4" t="s">
        <v>107</v>
      </c>
      <c r="B235" s="4" t="s">
        <v>515</v>
      </c>
      <c r="C235" s="4" t="s">
        <v>251</v>
      </c>
      <c r="D235" s="113" t="s">
        <v>422</v>
      </c>
      <c r="E235" s="114"/>
      <c r="F235" s="4" t="s">
        <v>488</v>
      </c>
      <c r="G235" s="59">
        <v>200.87899999999999</v>
      </c>
      <c r="H235" s="14">
        <v>0</v>
      </c>
    </row>
    <row r="236" spans="1:8" ht="12.2" customHeight="1" x14ac:dyDescent="0.2">
      <c r="D236" s="134" t="s">
        <v>657</v>
      </c>
      <c r="E236" s="135"/>
      <c r="F236" s="135"/>
      <c r="G236" s="43">
        <v>164.95699999999999</v>
      </c>
    </row>
    <row r="237" spans="1:8" ht="12.2" customHeight="1" x14ac:dyDescent="0.2">
      <c r="A237" s="4"/>
      <c r="B237" s="4"/>
      <c r="C237" s="4"/>
      <c r="D237" s="134" t="s">
        <v>658</v>
      </c>
      <c r="E237" s="135"/>
      <c r="F237" s="134"/>
      <c r="G237" s="60">
        <v>35.921999999999997</v>
      </c>
      <c r="H237" s="24"/>
    </row>
    <row r="238" spans="1:8" x14ac:dyDescent="0.2">
      <c r="A238" s="4" t="s">
        <v>108</v>
      </c>
      <c r="B238" s="4" t="s">
        <v>515</v>
      </c>
      <c r="C238" s="4" t="s">
        <v>252</v>
      </c>
      <c r="D238" s="113" t="s">
        <v>423</v>
      </c>
      <c r="E238" s="114"/>
      <c r="F238" s="4" t="s">
        <v>488</v>
      </c>
      <c r="G238" s="59">
        <v>90.108999999999995</v>
      </c>
      <c r="H238" s="14">
        <v>0</v>
      </c>
    </row>
    <row r="239" spans="1:8" ht="12.2" customHeight="1" x14ac:dyDescent="0.2">
      <c r="D239" s="134" t="s">
        <v>659</v>
      </c>
      <c r="E239" s="135"/>
      <c r="F239" s="135"/>
      <c r="G239" s="43">
        <v>90.108999999999995</v>
      </c>
    </row>
    <row r="240" spans="1:8" x14ac:dyDescent="0.2">
      <c r="A240" s="4" t="s">
        <v>109</v>
      </c>
      <c r="B240" s="4" t="s">
        <v>515</v>
      </c>
      <c r="C240" s="4" t="s">
        <v>253</v>
      </c>
      <c r="D240" s="113" t="s">
        <v>424</v>
      </c>
      <c r="E240" s="114"/>
      <c r="F240" s="4" t="s">
        <v>488</v>
      </c>
      <c r="G240" s="59">
        <v>5.859</v>
      </c>
      <c r="H240" s="14">
        <v>0</v>
      </c>
    </row>
    <row r="241" spans="1:8" ht="12.2" customHeight="1" x14ac:dyDescent="0.2">
      <c r="D241" s="134" t="s">
        <v>660</v>
      </c>
      <c r="E241" s="135"/>
      <c r="F241" s="135"/>
      <c r="G241" s="43">
        <v>5.859</v>
      </c>
    </row>
    <row r="242" spans="1:8" x14ac:dyDescent="0.2">
      <c r="A242" s="4" t="s">
        <v>110</v>
      </c>
      <c r="B242" s="4" t="s">
        <v>515</v>
      </c>
      <c r="C242" s="4" t="s">
        <v>254</v>
      </c>
      <c r="D242" s="113" t="s">
        <v>425</v>
      </c>
      <c r="E242" s="114"/>
      <c r="F242" s="4" t="s">
        <v>488</v>
      </c>
      <c r="G242" s="59">
        <v>8.7949999999999999</v>
      </c>
      <c r="H242" s="14">
        <v>0</v>
      </c>
    </row>
    <row r="243" spans="1:8" ht="12.2" customHeight="1" x14ac:dyDescent="0.2">
      <c r="D243" s="134" t="s">
        <v>661</v>
      </c>
      <c r="E243" s="135"/>
      <c r="F243" s="135"/>
      <c r="G243" s="43">
        <v>8.7949999999999999</v>
      </c>
    </row>
    <row r="244" spans="1:8" x14ac:dyDescent="0.2">
      <c r="A244" s="4" t="s">
        <v>111</v>
      </c>
      <c r="B244" s="4" t="s">
        <v>515</v>
      </c>
      <c r="C244" s="4" t="s">
        <v>255</v>
      </c>
      <c r="D244" s="113" t="s">
        <v>426</v>
      </c>
      <c r="E244" s="114"/>
      <c r="F244" s="4" t="s">
        <v>488</v>
      </c>
      <c r="G244" s="59">
        <v>2.6480000000000001</v>
      </c>
      <c r="H244" s="14">
        <v>0</v>
      </c>
    </row>
    <row r="245" spans="1:8" ht="12.2" customHeight="1" x14ac:dyDescent="0.2">
      <c r="D245" s="134" t="s">
        <v>662</v>
      </c>
      <c r="E245" s="135"/>
      <c r="F245" s="135"/>
      <c r="G245" s="43">
        <v>2.6480000000000001</v>
      </c>
    </row>
    <row r="246" spans="1:8" x14ac:dyDescent="0.2">
      <c r="A246" s="4" t="s">
        <v>112</v>
      </c>
      <c r="B246" s="4" t="s">
        <v>515</v>
      </c>
      <c r="C246" s="4" t="s">
        <v>256</v>
      </c>
      <c r="D246" s="113" t="s">
        <v>427</v>
      </c>
      <c r="E246" s="114"/>
      <c r="F246" s="4" t="s">
        <v>488</v>
      </c>
      <c r="G246" s="59">
        <v>33.296999999999997</v>
      </c>
      <c r="H246" s="14">
        <v>0</v>
      </c>
    </row>
    <row r="247" spans="1:8" ht="12.2" customHeight="1" x14ac:dyDescent="0.2">
      <c r="D247" s="134" t="s">
        <v>663</v>
      </c>
      <c r="E247" s="135"/>
      <c r="F247" s="135"/>
      <c r="G247" s="43">
        <v>33.296999999999997</v>
      </c>
    </row>
    <row r="248" spans="1:8" x14ac:dyDescent="0.2">
      <c r="A248" s="4" t="s">
        <v>113</v>
      </c>
      <c r="B248" s="4" t="s">
        <v>515</v>
      </c>
      <c r="C248" s="4" t="s">
        <v>257</v>
      </c>
      <c r="D248" s="113" t="s">
        <v>428</v>
      </c>
      <c r="E248" s="114"/>
      <c r="F248" s="4" t="s">
        <v>488</v>
      </c>
      <c r="G248" s="59">
        <v>0.224</v>
      </c>
      <c r="H248" s="14">
        <v>0</v>
      </c>
    </row>
    <row r="249" spans="1:8" ht="12.2" customHeight="1" x14ac:dyDescent="0.2">
      <c r="D249" s="134" t="s">
        <v>664</v>
      </c>
      <c r="E249" s="135"/>
      <c r="F249" s="135"/>
      <c r="G249" s="43">
        <v>0.224</v>
      </c>
    </row>
    <row r="250" spans="1:8" x14ac:dyDescent="0.2">
      <c r="A250" s="4" t="s">
        <v>114</v>
      </c>
      <c r="B250" s="4" t="s">
        <v>515</v>
      </c>
      <c r="C250" s="4" t="s">
        <v>258</v>
      </c>
      <c r="D250" s="113" t="s">
        <v>429</v>
      </c>
      <c r="E250" s="114"/>
      <c r="F250" s="4" t="s">
        <v>488</v>
      </c>
      <c r="G250" s="59">
        <v>0.27500000000000002</v>
      </c>
      <c r="H250" s="14">
        <v>0</v>
      </c>
    </row>
    <row r="251" spans="1:8" ht="12.2" customHeight="1" x14ac:dyDescent="0.2">
      <c r="D251" s="134" t="s">
        <v>665</v>
      </c>
      <c r="E251" s="135"/>
      <c r="F251" s="135"/>
      <c r="G251" s="43">
        <v>0.27500000000000002</v>
      </c>
    </row>
    <row r="252" spans="1:8" x14ac:dyDescent="0.2">
      <c r="A252" s="4" t="s">
        <v>115</v>
      </c>
      <c r="B252" s="4" t="s">
        <v>515</v>
      </c>
      <c r="C252" s="4" t="s">
        <v>259</v>
      </c>
      <c r="D252" s="113" t="s">
        <v>430</v>
      </c>
      <c r="E252" s="114"/>
      <c r="F252" s="4" t="s">
        <v>488</v>
      </c>
      <c r="G252" s="59">
        <v>10.465999999999999</v>
      </c>
      <c r="H252" s="14">
        <v>0</v>
      </c>
    </row>
    <row r="253" spans="1:8" ht="12.2" customHeight="1" x14ac:dyDescent="0.2">
      <c r="D253" s="134" t="s">
        <v>666</v>
      </c>
      <c r="E253" s="135"/>
      <c r="F253" s="135"/>
      <c r="G253" s="43">
        <v>10.465999999999999</v>
      </c>
    </row>
    <row r="254" spans="1:8" x14ac:dyDescent="0.2">
      <c r="A254" s="10"/>
      <c r="B254" s="10"/>
      <c r="C254" s="10" t="s">
        <v>260</v>
      </c>
      <c r="D254" s="120" t="s">
        <v>431</v>
      </c>
      <c r="E254" s="121"/>
      <c r="F254" s="10"/>
      <c r="G254" s="61"/>
      <c r="H254" s="23"/>
    </row>
    <row r="255" spans="1:8" x14ac:dyDescent="0.2">
      <c r="A255" s="4" t="s">
        <v>116</v>
      </c>
      <c r="B255" s="4" t="s">
        <v>515</v>
      </c>
      <c r="C255" s="4" t="s">
        <v>261</v>
      </c>
      <c r="D255" s="113" t="s">
        <v>432</v>
      </c>
      <c r="E255" s="114"/>
      <c r="F255" s="4" t="s">
        <v>486</v>
      </c>
      <c r="G255" s="59">
        <v>353.45600000000002</v>
      </c>
      <c r="H255" s="14">
        <v>0</v>
      </c>
    </row>
    <row r="256" spans="1:8" ht="12.2" customHeight="1" x14ac:dyDescent="0.2">
      <c r="D256" s="134" t="s">
        <v>562</v>
      </c>
      <c r="E256" s="135"/>
      <c r="F256" s="135"/>
      <c r="G256" s="43">
        <v>257.73500000000001</v>
      </c>
    </row>
    <row r="257" spans="1:8" ht="12.2" customHeight="1" x14ac:dyDescent="0.2">
      <c r="A257" s="4"/>
      <c r="B257" s="4"/>
      <c r="C257" s="4"/>
      <c r="D257" s="134" t="s">
        <v>563</v>
      </c>
      <c r="E257" s="135"/>
      <c r="F257" s="134"/>
      <c r="G257" s="60">
        <v>95.721000000000004</v>
      </c>
      <c r="H257" s="24"/>
    </row>
    <row r="258" spans="1:8" x14ac:dyDescent="0.2">
      <c r="A258" s="4" t="s">
        <v>117</v>
      </c>
      <c r="B258" s="4" t="s">
        <v>515</v>
      </c>
      <c r="C258" s="4" t="s">
        <v>262</v>
      </c>
      <c r="D258" s="113" t="s">
        <v>433</v>
      </c>
      <c r="E258" s="114"/>
      <c r="F258" s="4" t="s">
        <v>486</v>
      </c>
      <c r="G258" s="59">
        <v>172.53</v>
      </c>
      <c r="H258" s="14">
        <v>0</v>
      </c>
    </row>
    <row r="259" spans="1:8" ht="12.2" customHeight="1" x14ac:dyDescent="0.2">
      <c r="D259" s="134" t="s">
        <v>667</v>
      </c>
      <c r="E259" s="135"/>
      <c r="F259" s="135"/>
      <c r="G259" s="43">
        <v>53.01</v>
      </c>
    </row>
    <row r="260" spans="1:8" ht="12.2" customHeight="1" x14ac:dyDescent="0.2">
      <c r="A260" s="4"/>
      <c r="B260" s="4"/>
      <c r="C260" s="4"/>
      <c r="D260" s="134" t="s">
        <v>668</v>
      </c>
      <c r="E260" s="135"/>
      <c r="F260" s="134"/>
      <c r="G260" s="60">
        <v>119.52</v>
      </c>
      <c r="H260" s="24"/>
    </row>
    <row r="261" spans="1:8" x14ac:dyDescent="0.2">
      <c r="A261" s="10"/>
      <c r="B261" s="10"/>
      <c r="C261" s="10" t="s">
        <v>263</v>
      </c>
      <c r="D261" s="120" t="s">
        <v>434</v>
      </c>
      <c r="E261" s="121"/>
      <c r="F261" s="10"/>
      <c r="G261" s="61"/>
      <c r="H261" s="23"/>
    </row>
    <row r="262" spans="1:8" x14ac:dyDescent="0.2">
      <c r="A262" s="4" t="s">
        <v>118</v>
      </c>
      <c r="B262" s="4" t="s">
        <v>515</v>
      </c>
      <c r="C262" s="4" t="s">
        <v>264</v>
      </c>
      <c r="D262" s="113" t="s">
        <v>435</v>
      </c>
      <c r="E262" s="114"/>
      <c r="F262" s="4" t="s">
        <v>486</v>
      </c>
      <c r="G262" s="59">
        <v>357.46899999999999</v>
      </c>
      <c r="H262" s="14">
        <v>0</v>
      </c>
    </row>
    <row r="263" spans="1:8" ht="12.2" customHeight="1" x14ac:dyDescent="0.2">
      <c r="D263" s="134" t="s">
        <v>669</v>
      </c>
      <c r="E263" s="135"/>
      <c r="F263" s="135"/>
      <c r="G263" s="43">
        <v>357.46899999999999</v>
      </c>
    </row>
    <row r="264" spans="1:8" x14ac:dyDescent="0.2">
      <c r="A264" s="10"/>
      <c r="B264" s="10"/>
      <c r="C264" s="10" t="s">
        <v>265</v>
      </c>
      <c r="D264" s="120" t="s">
        <v>436</v>
      </c>
      <c r="E264" s="121"/>
      <c r="F264" s="10"/>
      <c r="G264" s="61"/>
      <c r="H264" s="23"/>
    </row>
    <row r="265" spans="1:8" x14ac:dyDescent="0.2">
      <c r="A265" s="4" t="s">
        <v>119</v>
      </c>
      <c r="B265" s="4" t="s">
        <v>515</v>
      </c>
      <c r="C265" s="4" t="s">
        <v>266</v>
      </c>
      <c r="D265" s="113" t="s">
        <v>437</v>
      </c>
      <c r="E265" s="114"/>
      <c r="F265" s="4" t="s">
        <v>486</v>
      </c>
      <c r="G265" s="59">
        <v>344.77800000000002</v>
      </c>
      <c r="H265" s="14">
        <v>0</v>
      </c>
    </row>
    <row r="266" spans="1:8" ht="12.2" customHeight="1" x14ac:dyDescent="0.2">
      <c r="D266" s="134" t="s">
        <v>670</v>
      </c>
      <c r="E266" s="135"/>
      <c r="F266" s="135"/>
      <c r="G266" s="43">
        <v>344.77800000000002</v>
      </c>
    </row>
    <row r="267" spans="1:8" x14ac:dyDescent="0.2">
      <c r="A267" s="10"/>
      <c r="B267" s="10"/>
      <c r="C267" s="10" t="s">
        <v>267</v>
      </c>
      <c r="D267" s="120" t="s">
        <v>438</v>
      </c>
      <c r="E267" s="121"/>
      <c r="F267" s="10"/>
      <c r="G267" s="61"/>
      <c r="H267" s="23"/>
    </row>
    <row r="268" spans="1:8" x14ac:dyDescent="0.2">
      <c r="A268" s="4" t="s">
        <v>120</v>
      </c>
      <c r="B268" s="4" t="s">
        <v>515</v>
      </c>
      <c r="C268" s="4" t="s">
        <v>268</v>
      </c>
      <c r="D268" s="113" t="s">
        <v>439</v>
      </c>
      <c r="E268" s="114"/>
      <c r="F268" s="4" t="s">
        <v>486</v>
      </c>
      <c r="G268" s="59">
        <v>344.77800000000002</v>
      </c>
      <c r="H268" s="14">
        <v>0</v>
      </c>
    </row>
    <row r="269" spans="1:8" ht="12.2" customHeight="1" x14ac:dyDescent="0.2">
      <c r="D269" s="134" t="s">
        <v>670</v>
      </c>
      <c r="E269" s="135"/>
      <c r="F269" s="135"/>
      <c r="G269" s="43">
        <v>344.77800000000002</v>
      </c>
    </row>
    <row r="270" spans="1:8" x14ac:dyDescent="0.2">
      <c r="A270" s="4" t="s">
        <v>121</v>
      </c>
      <c r="B270" s="4" t="s">
        <v>515</v>
      </c>
      <c r="C270" s="4" t="s">
        <v>269</v>
      </c>
      <c r="D270" s="113" t="s">
        <v>440</v>
      </c>
      <c r="E270" s="114"/>
      <c r="F270" s="4" t="s">
        <v>486</v>
      </c>
      <c r="G270" s="59">
        <v>105.76</v>
      </c>
      <c r="H270" s="14">
        <v>0</v>
      </c>
    </row>
    <row r="271" spans="1:8" ht="12.2" customHeight="1" x14ac:dyDescent="0.2">
      <c r="D271" s="134" t="s">
        <v>671</v>
      </c>
      <c r="E271" s="135"/>
      <c r="F271" s="135"/>
      <c r="G271" s="43">
        <v>105.76</v>
      </c>
    </row>
    <row r="272" spans="1:8" x14ac:dyDescent="0.2">
      <c r="A272" s="4" t="s">
        <v>122</v>
      </c>
      <c r="B272" s="4" t="s">
        <v>515</v>
      </c>
      <c r="C272" s="4" t="s">
        <v>270</v>
      </c>
      <c r="D272" s="113" t="s">
        <v>441</v>
      </c>
      <c r="E272" s="114"/>
      <c r="F272" s="4" t="s">
        <v>486</v>
      </c>
      <c r="G272" s="59">
        <v>344.77800000000002</v>
      </c>
      <c r="H272" s="14">
        <v>0</v>
      </c>
    </row>
    <row r="273" spans="1:8" ht="12.2" customHeight="1" x14ac:dyDescent="0.2">
      <c r="D273" s="134" t="s">
        <v>670</v>
      </c>
      <c r="E273" s="135"/>
      <c r="F273" s="135"/>
      <c r="G273" s="43">
        <v>344.77800000000002</v>
      </c>
    </row>
    <row r="274" spans="1:8" x14ac:dyDescent="0.2">
      <c r="A274" s="10"/>
      <c r="B274" s="10"/>
      <c r="C274" s="10" t="s">
        <v>271</v>
      </c>
      <c r="D274" s="120" t="s">
        <v>442</v>
      </c>
      <c r="E274" s="121"/>
      <c r="F274" s="10"/>
      <c r="G274" s="61"/>
      <c r="H274" s="23"/>
    </row>
    <row r="275" spans="1:8" x14ac:dyDescent="0.2">
      <c r="A275" s="4" t="s">
        <v>123</v>
      </c>
      <c r="B275" s="4" t="s">
        <v>515</v>
      </c>
      <c r="C275" s="4" t="s">
        <v>272</v>
      </c>
      <c r="D275" s="113" t="s">
        <v>443</v>
      </c>
      <c r="E275" s="114"/>
      <c r="F275" s="4" t="s">
        <v>486</v>
      </c>
      <c r="G275" s="59">
        <v>357.46899999999999</v>
      </c>
      <c r="H275" s="14">
        <v>0</v>
      </c>
    </row>
    <row r="276" spans="1:8" ht="12.2" customHeight="1" x14ac:dyDescent="0.2">
      <c r="D276" s="134" t="s">
        <v>669</v>
      </c>
      <c r="E276" s="135"/>
      <c r="F276" s="135"/>
      <c r="G276" s="43">
        <v>357.46899999999999</v>
      </c>
    </row>
    <row r="277" spans="1:8" x14ac:dyDescent="0.2">
      <c r="A277" s="4" t="s">
        <v>124</v>
      </c>
      <c r="B277" s="4" t="s">
        <v>515</v>
      </c>
      <c r="C277" s="4" t="s">
        <v>273</v>
      </c>
      <c r="D277" s="113" t="s">
        <v>444</v>
      </c>
      <c r="E277" s="114"/>
      <c r="F277" s="4" t="s">
        <v>485</v>
      </c>
      <c r="G277" s="59">
        <v>27.24</v>
      </c>
      <c r="H277" s="14">
        <v>0</v>
      </c>
    </row>
    <row r="278" spans="1:8" ht="12.2" customHeight="1" x14ac:dyDescent="0.2">
      <c r="D278" s="134" t="s">
        <v>672</v>
      </c>
      <c r="E278" s="135"/>
      <c r="F278" s="135"/>
      <c r="G278" s="43">
        <v>27.24</v>
      </c>
    </row>
    <row r="279" spans="1:8" x14ac:dyDescent="0.2">
      <c r="A279" s="4" t="s">
        <v>125</v>
      </c>
      <c r="B279" s="4" t="s">
        <v>515</v>
      </c>
      <c r="C279" s="4" t="s">
        <v>274</v>
      </c>
      <c r="D279" s="113" t="s">
        <v>445</v>
      </c>
      <c r="E279" s="114"/>
      <c r="F279" s="4" t="s">
        <v>485</v>
      </c>
      <c r="G279" s="59">
        <v>2.1</v>
      </c>
      <c r="H279" s="14">
        <v>0</v>
      </c>
    </row>
    <row r="280" spans="1:8" ht="12.2" customHeight="1" x14ac:dyDescent="0.2">
      <c r="D280" s="134" t="s">
        <v>673</v>
      </c>
      <c r="E280" s="135"/>
      <c r="F280" s="135"/>
      <c r="G280" s="43">
        <v>2.1</v>
      </c>
    </row>
    <row r="281" spans="1:8" x14ac:dyDescent="0.2">
      <c r="A281" s="4" t="s">
        <v>126</v>
      </c>
      <c r="B281" s="4" t="s">
        <v>515</v>
      </c>
      <c r="C281" s="4" t="s">
        <v>275</v>
      </c>
      <c r="D281" s="113" t="s">
        <v>446</v>
      </c>
      <c r="E281" s="114"/>
      <c r="F281" s="4" t="s">
        <v>485</v>
      </c>
      <c r="G281" s="59">
        <v>27.04</v>
      </c>
      <c r="H281" s="14">
        <v>0</v>
      </c>
    </row>
    <row r="282" spans="1:8" ht="12.2" customHeight="1" x14ac:dyDescent="0.2">
      <c r="D282" s="134" t="s">
        <v>674</v>
      </c>
      <c r="E282" s="135"/>
      <c r="F282" s="135"/>
      <c r="G282" s="43">
        <v>27.04</v>
      </c>
    </row>
    <row r="283" spans="1:8" x14ac:dyDescent="0.2">
      <c r="A283" s="4" t="s">
        <v>127</v>
      </c>
      <c r="B283" s="4" t="s">
        <v>515</v>
      </c>
      <c r="C283" s="4" t="s">
        <v>276</v>
      </c>
      <c r="D283" s="113" t="s">
        <v>447</v>
      </c>
      <c r="E283" s="114"/>
      <c r="F283" s="4" t="s">
        <v>485</v>
      </c>
      <c r="G283" s="59">
        <v>52.88</v>
      </c>
      <c r="H283" s="14">
        <v>0</v>
      </c>
    </row>
    <row r="284" spans="1:8" ht="12.2" customHeight="1" x14ac:dyDescent="0.2">
      <c r="D284" s="134" t="s">
        <v>675</v>
      </c>
      <c r="E284" s="135"/>
      <c r="F284" s="135"/>
      <c r="G284" s="43">
        <v>52.88</v>
      </c>
    </row>
    <row r="285" spans="1:8" x14ac:dyDescent="0.2">
      <c r="A285" s="4" t="s">
        <v>128</v>
      </c>
      <c r="B285" s="4" t="s">
        <v>515</v>
      </c>
      <c r="C285" s="4" t="s">
        <v>277</v>
      </c>
      <c r="D285" s="113" t="s">
        <v>448</v>
      </c>
      <c r="E285" s="114"/>
      <c r="F285" s="4" t="s">
        <v>484</v>
      </c>
      <c r="G285" s="59">
        <v>4</v>
      </c>
      <c r="H285" s="14">
        <v>0</v>
      </c>
    </row>
    <row r="286" spans="1:8" ht="12.2" customHeight="1" x14ac:dyDescent="0.2">
      <c r="D286" s="134" t="s">
        <v>676</v>
      </c>
      <c r="E286" s="135"/>
      <c r="F286" s="135"/>
      <c r="G286" s="43">
        <v>4</v>
      </c>
    </row>
    <row r="287" spans="1:8" x14ac:dyDescent="0.2">
      <c r="A287" s="4" t="s">
        <v>129</v>
      </c>
      <c r="B287" s="4" t="s">
        <v>515</v>
      </c>
      <c r="C287" s="4" t="s">
        <v>278</v>
      </c>
      <c r="D287" s="113" t="s">
        <v>449</v>
      </c>
      <c r="E287" s="114"/>
      <c r="F287" s="4" t="s">
        <v>485</v>
      </c>
      <c r="G287" s="59">
        <v>25.2</v>
      </c>
      <c r="H287" s="14">
        <v>0</v>
      </c>
    </row>
    <row r="288" spans="1:8" ht="12.2" customHeight="1" x14ac:dyDescent="0.2">
      <c r="D288" s="134" t="s">
        <v>677</v>
      </c>
      <c r="E288" s="135"/>
      <c r="F288" s="135"/>
      <c r="G288" s="43">
        <v>25.2</v>
      </c>
    </row>
    <row r="289" spans="1:8" x14ac:dyDescent="0.2">
      <c r="A289" s="4" t="s">
        <v>130</v>
      </c>
      <c r="B289" s="4" t="s">
        <v>515</v>
      </c>
      <c r="C289" s="4" t="s">
        <v>279</v>
      </c>
      <c r="D289" s="113" t="s">
        <v>450</v>
      </c>
      <c r="E289" s="114"/>
      <c r="F289" s="4" t="s">
        <v>484</v>
      </c>
      <c r="G289" s="59">
        <v>4</v>
      </c>
      <c r="H289" s="14">
        <v>0</v>
      </c>
    </row>
    <row r="290" spans="1:8" ht="12.2" customHeight="1" x14ac:dyDescent="0.2">
      <c r="D290" s="134" t="s">
        <v>676</v>
      </c>
      <c r="E290" s="135"/>
      <c r="F290" s="135"/>
      <c r="G290" s="43">
        <v>4</v>
      </c>
    </row>
    <row r="291" spans="1:8" x14ac:dyDescent="0.2">
      <c r="A291" s="4" t="s">
        <v>131</v>
      </c>
      <c r="B291" s="4" t="s">
        <v>515</v>
      </c>
      <c r="C291" s="4" t="s">
        <v>280</v>
      </c>
      <c r="D291" s="113" t="s">
        <v>451</v>
      </c>
      <c r="E291" s="114"/>
      <c r="F291" s="4" t="s">
        <v>485</v>
      </c>
      <c r="G291" s="59">
        <v>22.8</v>
      </c>
      <c r="H291" s="14">
        <v>0</v>
      </c>
    </row>
    <row r="292" spans="1:8" ht="12.2" customHeight="1" x14ac:dyDescent="0.2">
      <c r="D292" s="134" t="s">
        <v>678</v>
      </c>
      <c r="E292" s="135"/>
      <c r="F292" s="135"/>
      <c r="G292" s="43">
        <v>22.8</v>
      </c>
    </row>
    <row r="293" spans="1:8" x14ac:dyDescent="0.2">
      <c r="A293" s="4" t="s">
        <v>132</v>
      </c>
      <c r="B293" s="4" t="s">
        <v>515</v>
      </c>
      <c r="C293" s="4" t="s">
        <v>281</v>
      </c>
      <c r="D293" s="113" t="s">
        <v>452</v>
      </c>
      <c r="E293" s="114"/>
      <c r="F293" s="4" t="s">
        <v>484</v>
      </c>
      <c r="G293" s="59">
        <v>4</v>
      </c>
      <c r="H293" s="14">
        <v>0</v>
      </c>
    </row>
    <row r="294" spans="1:8" ht="12.2" customHeight="1" x14ac:dyDescent="0.2">
      <c r="D294" s="134" t="s">
        <v>676</v>
      </c>
      <c r="E294" s="135"/>
      <c r="F294" s="135"/>
      <c r="G294" s="43">
        <v>4</v>
      </c>
    </row>
    <row r="295" spans="1:8" x14ac:dyDescent="0.2">
      <c r="A295" s="10"/>
      <c r="B295" s="10"/>
      <c r="C295" s="10" t="s">
        <v>282</v>
      </c>
      <c r="D295" s="120" t="s">
        <v>453</v>
      </c>
      <c r="E295" s="121"/>
      <c r="F295" s="10"/>
      <c r="G295" s="61"/>
      <c r="H295" s="23"/>
    </row>
    <row r="296" spans="1:8" x14ac:dyDescent="0.2">
      <c r="A296" s="4" t="s">
        <v>133</v>
      </c>
      <c r="B296" s="4" t="s">
        <v>515</v>
      </c>
      <c r="C296" s="4" t="s">
        <v>283</v>
      </c>
      <c r="D296" s="113" t="s">
        <v>454</v>
      </c>
      <c r="E296" s="114"/>
      <c r="F296" s="4" t="s">
        <v>486</v>
      </c>
      <c r="G296" s="59">
        <v>317.44</v>
      </c>
      <c r="H296" s="14">
        <v>0</v>
      </c>
    </row>
    <row r="297" spans="1:8" ht="12.2" customHeight="1" x14ac:dyDescent="0.2">
      <c r="D297" s="134" t="s">
        <v>679</v>
      </c>
      <c r="E297" s="135"/>
      <c r="F297" s="135"/>
      <c r="G297" s="43">
        <v>317.44</v>
      </c>
    </row>
    <row r="298" spans="1:8" x14ac:dyDescent="0.2">
      <c r="A298" s="10"/>
      <c r="B298" s="10"/>
      <c r="C298" s="10" t="s">
        <v>284</v>
      </c>
      <c r="D298" s="120" t="s">
        <v>455</v>
      </c>
      <c r="E298" s="121"/>
      <c r="F298" s="10"/>
      <c r="G298" s="61"/>
      <c r="H298" s="23"/>
    </row>
    <row r="299" spans="1:8" x14ac:dyDescent="0.2">
      <c r="A299" s="4" t="s">
        <v>134</v>
      </c>
      <c r="B299" s="4" t="s">
        <v>515</v>
      </c>
      <c r="C299" s="4" t="s">
        <v>285</v>
      </c>
      <c r="D299" s="113" t="s">
        <v>456</v>
      </c>
      <c r="E299" s="114"/>
      <c r="F299" s="4" t="s">
        <v>485</v>
      </c>
      <c r="G299" s="59">
        <v>178.965</v>
      </c>
      <c r="H299" s="14">
        <v>0</v>
      </c>
    </row>
    <row r="300" spans="1:8" ht="12.2" customHeight="1" x14ac:dyDescent="0.2">
      <c r="D300" s="134" t="s">
        <v>680</v>
      </c>
      <c r="E300" s="135"/>
      <c r="F300" s="135"/>
      <c r="G300" s="43">
        <v>63.795000000000002</v>
      </c>
    </row>
    <row r="301" spans="1:8" ht="12.2" customHeight="1" x14ac:dyDescent="0.2">
      <c r="A301" s="4"/>
      <c r="B301" s="4"/>
      <c r="C301" s="4"/>
      <c r="D301" s="134" t="s">
        <v>681</v>
      </c>
      <c r="E301" s="135"/>
      <c r="F301" s="134"/>
      <c r="G301" s="60">
        <v>115.17</v>
      </c>
      <c r="H301" s="24"/>
    </row>
    <row r="302" spans="1:8" x14ac:dyDescent="0.2">
      <c r="A302" s="4" t="s">
        <v>135</v>
      </c>
      <c r="B302" s="4" t="s">
        <v>515</v>
      </c>
      <c r="C302" s="4" t="s">
        <v>285</v>
      </c>
      <c r="D302" s="113" t="s">
        <v>457</v>
      </c>
      <c r="E302" s="114"/>
      <c r="F302" s="4" t="s">
        <v>485</v>
      </c>
      <c r="G302" s="59">
        <v>194.88499999999999</v>
      </c>
      <c r="H302" s="14">
        <v>0</v>
      </c>
    </row>
    <row r="303" spans="1:8" ht="12.2" customHeight="1" x14ac:dyDescent="0.2">
      <c r="D303" s="134" t="s">
        <v>682</v>
      </c>
      <c r="E303" s="135"/>
      <c r="F303" s="135"/>
      <c r="G303" s="43">
        <v>51.74</v>
      </c>
    </row>
    <row r="304" spans="1:8" ht="12.2" customHeight="1" x14ac:dyDescent="0.2">
      <c r="A304" s="4"/>
      <c r="B304" s="4"/>
      <c r="C304" s="4"/>
      <c r="D304" s="134" t="s">
        <v>683</v>
      </c>
      <c r="E304" s="135"/>
      <c r="F304" s="134"/>
      <c r="G304" s="60">
        <v>143.14500000000001</v>
      </c>
      <c r="H304" s="24"/>
    </row>
    <row r="305" spans="1:8" x14ac:dyDescent="0.2">
      <c r="A305" s="4" t="s">
        <v>136</v>
      </c>
      <c r="B305" s="4" t="s">
        <v>515</v>
      </c>
      <c r="C305" s="4" t="s">
        <v>286</v>
      </c>
      <c r="D305" s="113" t="s">
        <v>458</v>
      </c>
      <c r="E305" s="114"/>
      <c r="F305" s="4" t="s">
        <v>486</v>
      </c>
      <c r="G305" s="59">
        <v>72.709999999999994</v>
      </c>
      <c r="H305" s="14">
        <v>0</v>
      </c>
    </row>
    <row r="306" spans="1:8" ht="12.2" customHeight="1" x14ac:dyDescent="0.2">
      <c r="D306" s="134" t="s">
        <v>684</v>
      </c>
      <c r="E306" s="135"/>
      <c r="F306" s="135"/>
      <c r="G306" s="43">
        <v>72.709999999999994</v>
      </c>
    </row>
    <row r="307" spans="1:8" x14ac:dyDescent="0.2">
      <c r="A307" s="4" t="s">
        <v>137</v>
      </c>
      <c r="B307" s="4" t="s">
        <v>515</v>
      </c>
      <c r="C307" s="4" t="s">
        <v>287</v>
      </c>
      <c r="D307" s="113" t="s">
        <v>459</v>
      </c>
      <c r="E307" s="114"/>
      <c r="F307" s="4" t="s">
        <v>486</v>
      </c>
      <c r="G307" s="59">
        <v>54.27</v>
      </c>
      <c r="H307" s="14">
        <v>0</v>
      </c>
    </row>
    <row r="308" spans="1:8" ht="12.2" customHeight="1" x14ac:dyDescent="0.2">
      <c r="D308" s="134" t="s">
        <v>685</v>
      </c>
      <c r="E308" s="135"/>
      <c r="F308" s="135"/>
      <c r="G308" s="43">
        <v>17.59</v>
      </c>
    </row>
    <row r="309" spans="1:8" ht="12.2" customHeight="1" x14ac:dyDescent="0.2">
      <c r="A309" s="4"/>
      <c r="B309" s="4"/>
      <c r="C309" s="4"/>
      <c r="D309" s="134" t="s">
        <v>686</v>
      </c>
      <c r="E309" s="135"/>
      <c r="F309" s="134"/>
      <c r="G309" s="60">
        <v>36.68</v>
      </c>
      <c r="H309" s="24"/>
    </row>
    <row r="310" spans="1:8" x14ac:dyDescent="0.2">
      <c r="A310" s="4" t="s">
        <v>138</v>
      </c>
      <c r="B310" s="4" t="s">
        <v>515</v>
      </c>
      <c r="C310" s="4" t="s">
        <v>288</v>
      </c>
      <c r="D310" s="113" t="s">
        <v>460</v>
      </c>
      <c r="E310" s="114"/>
      <c r="F310" s="4" t="s">
        <v>486</v>
      </c>
      <c r="G310" s="59">
        <v>42.99</v>
      </c>
      <c r="H310" s="14">
        <v>0</v>
      </c>
    </row>
    <row r="311" spans="1:8" ht="12.2" customHeight="1" x14ac:dyDescent="0.2">
      <c r="D311" s="134" t="s">
        <v>687</v>
      </c>
      <c r="E311" s="135"/>
      <c r="F311" s="135"/>
      <c r="G311" s="43">
        <v>42.99</v>
      </c>
    </row>
    <row r="312" spans="1:8" x14ac:dyDescent="0.2">
      <c r="A312" s="4" t="s">
        <v>139</v>
      </c>
      <c r="B312" s="4" t="s">
        <v>515</v>
      </c>
      <c r="C312" s="4" t="s">
        <v>286</v>
      </c>
      <c r="D312" s="113" t="s">
        <v>461</v>
      </c>
      <c r="E312" s="114"/>
      <c r="F312" s="4" t="s">
        <v>486</v>
      </c>
      <c r="G312" s="59">
        <v>53.25</v>
      </c>
      <c r="H312" s="14">
        <v>0</v>
      </c>
    </row>
    <row r="313" spans="1:8" ht="12.2" customHeight="1" x14ac:dyDescent="0.2">
      <c r="D313" s="134" t="s">
        <v>688</v>
      </c>
      <c r="E313" s="135"/>
      <c r="F313" s="135"/>
      <c r="G313" s="43">
        <v>53.25</v>
      </c>
    </row>
    <row r="314" spans="1:8" x14ac:dyDescent="0.2">
      <c r="A314" s="4" t="s">
        <v>140</v>
      </c>
      <c r="B314" s="4" t="s">
        <v>515</v>
      </c>
      <c r="C314" s="4" t="s">
        <v>287</v>
      </c>
      <c r="D314" s="113" t="s">
        <v>462</v>
      </c>
      <c r="E314" s="114"/>
      <c r="F314" s="4" t="s">
        <v>486</v>
      </c>
      <c r="G314" s="59">
        <v>155.19999999999999</v>
      </c>
      <c r="H314" s="14">
        <v>0</v>
      </c>
    </row>
    <row r="315" spans="1:8" ht="12.2" customHeight="1" x14ac:dyDescent="0.2">
      <c r="D315" s="134" t="s">
        <v>689</v>
      </c>
      <c r="E315" s="135"/>
      <c r="F315" s="135"/>
      <c r="G315" s="43">
        <v>47.42</v>
      </c>
    </row>
    <row r="316" spans="1:8" ht="12.2" customHeight="1" x14ac:dyDescent="0.2">
      <c r="A316" s="4"/>
      <c r="B316" s="4"/>
      <c r="C316" s="4"/>
      <c r="D316" s="134" t="s">
        <v>690</v>
      </c>
      <c r="E316" s="135"/>
      <c r="F316" s="134"/>
      <c r="G316" s="60">
        <v>107.78</v>
      </c>
      <c r="H316" s="24"/>
    </row>
    <row r="317" spans="1:8" x14ac:dyDescent="0.2">
      <c r="A317" s="4" t="s">
        <v>141</v>
      </c>
      <c r="B317" s="4" t="s">
        <v>515</v>
      </c>
      <c r="C317" s="4" t="s">
        <v>288</v>
      </c>
      <c r="D317" s="113" t="s">
        <v>463</v>
      </c>
      <c r="E317" s="114"/>
      <c r="F317" s="4" t="s">
        <v>486</v>
      </c>
      <c r="G317" s="59">
        <v>4.1900000000000004</v>
      </c>
      <c r="H317" s="14">
        <v>0</v>
      </c>
    </row>
    <row r="318" spans="1:8" ht="12.2" customHeight="1" x14ac:dyDescent="0.2">
      <c r="D318" s="134" t="s">
        <v>691</v>
      </c>
      <c r="E318" s="135"/>
      <c r="F318" s="135"/>
      <c r="G318" s="43">
        <v>4.1900000000000004</v>
      </c>
    </row>
    <row r="319" spans="1:8" x14ac:dyDescent="0.2">
      <c r="A319" s="4" t="s">
        <v>142</v>
      </c>
      <c r="B319" s="4" t="s">
        <v>515</v>
      </c>
      <c r="C319" s="4" t="s">
        <v>288</v>
      </c>
      <c r="D319" s="113" t="s">
        <v>464</v>
      </c>
      <c r="E319" s="114"/>
      <c r="F319" s="4" t="s">
        <v>486</v>
      </c>
      <c r="G319" s="59">
        <v>4.1909999999999998</v>
      </c>
      <c r="H319" s="14">
        <v>0</v>
      </c>
    </row>
    <row r="320" spans="1:8" ht="12.2" customHeight="1" x14ac:dyDescent="0.2">
      <c r="D320" s="134" t="s">
        <v>620</v>
      </c>
      <c r="E320" s="135"/>
      <c r="F320" s="135"/>
      <c r="G320" s="43">
        <v>4.1909999999999998</v>
      </c>
    </row>
    <row r="321" spans="1:8" x14ac:dyDescent="0.2">
      <c r="A321" s="10"/>
      <c r="B321" s="10"/>
      <c r="C321" s="10" t="s">
        <v>289</v>
      </c>
      <c r="D321" s="120" t="s">
        <v>465</v>
      </c>
      <c r="E321" s="121"/>
      <c r="F321" s="10"/>
      <c r="G321" s="61"/>
      <c r="H321" s="23"/>
    </row>
    <row r="322" spans="1:8" x14ac:dyDescent="0.2">
      <c r="A322" s="4" t="s">
        <v>143</v>
      </c>
      <c r="B322" s="4" t="s">
        <v>515</v>
      </c>
      <c r="C322" s="4" t="s">
        <v>290</v>
      </c>
      <c r="D322" s="113" t="s">
        <v>466</v>
      </c>
      <c r="E322" s="114"/>
      <c r="F322" s="4" t="s">
        <v>484</v>
      </c>
      <c r="G322" s="59">
        <v>1</v>
      </c>
      <c r="H322" s="14">
        <v>0</v>
      </c>
    </row>
    <row r="323" spans="1:8" x14ac:dyDescent="0.2">
      <c r="A323" s="4" t="s">
        <v>144</v>
      </c>
      <c r="B323" s="4" t="s">
        <v>515</v>
      </c>
      <c r="C323" s="4" t="s">
        <v>291</v>
      </c>
      <c r="D323" s="113" t="s">
        <v>467</v>
      </c>
      <c r="E323" s="114"/>
      <c r="F323" s="4" t="s">
        <v>484</v>
      </c>
      <c r="G323" s="59">
        <v>1</v>
      </c>
      <c r="H323" s="14">
        <v>0</v>
      </c>
    </row>
    <row r="324" spans="1:8" x14ac:dyDescent="0.2">
      <c r="A324" s="10"/>
      <c r="B324" s="10"/>
      <c r="C324" s="10" t="s">
        <v>292</v>
      </c>
      <c r="D324" s="120" t="s">
        <v>469</v>
      </c>
      <c r="E324" s="121"/>
      <c r="F324" s="10"/>
      <c r="G324" s="61"/>
      <c r="H324" s="23"/>
    </row>
    <row r="325" spans="1:8" x14ac:dyDescent="0.2">
      <c r="A325" s="4" t="s">
        <v>145</v>
      </c>
      <c r="B325" s="4" t="s">
        <v>515</v>
      </c>
      <c r="C325" s="4" t="s">
        <v>293</v>
      </c>
      <c r="D325" s="113" t="s">
        <v>470</v>
      </c>
      <c r="E325" s="114"/>
      <c r="F325" s="4" t="s">
        <v>484</v>
      </c>
      <c r="G325" s="59">
        <v>1</v>
      </c>
      <c r="H325" s="14">
        <v>0</v>
      </c>
    </row>
    <row r="326" spans="1:8" x14ac:dyDescent="0.2">
      <c r="A326" s="4" t="s">
        <v>146</v>
      </c>
      <c r="B326" s="4" t="s">
        <v>515</v>
      </c>
      <c r="C326" s="4" t="s">
        <v>294</v>
      </c>
      <c r="D326" s="113" t="s">
        <v>471</v>
      </c>
      <c r="E326" s="114"/>
      <c r="F326" s="4" t="s">
        <v>484</v>
      </c>
      <c r="G326" s="59">
        <v>1</v>
      </c>
      <c r="H326" s="14">
        <v>0</v>
      </c>
    </row>
    <row r="327" spans="1:8" x14ac:dyDescent="0.2">
      <c r="A327" s="10"/>
      <c r="B327" s="10"/>
      <c r="C327" s="10" t="s">
        <v>295</v>
      </c>
      <c r="D327" s="120" t="s">
        <v>473</v>
      </c>
      <c r="E327" s="121"/>
      <c r="F327" s="10"/>
      <c r="G327" s="61"/>
      <c r="H327" s="23"/>
    </row>
    <row r="328" spans="1:8" x14ac:dyDescent="0.2">
      <c r="A328" s="4" t="s">
        <v>147</v>
      </c>
      <c r="B328" s="4" t="s">
        <v>515</v>
      </c>
      <c r="C328" s="4" t="s">
        <v>296</v>
      </c>
      <c r="D328" s="113" t="s">
        <v>474</v>
      </c>
      <c r="E328" s="114"/>
      <c r="F328" s="4" t="s">
        <v>484</v>
      </c>
      <c r="G328" s="59">
        <v>1</v>
      </c>
      <c r="H328" s="14">
        <v>0</v>
      </c>
    </row>
    <row r="329" spans="1:8" ht="12.2" customHeight="1" x14ac:dyDescent="0.2">
      <c r="D329" s="134" t="s">
        <v>692</v>
      </c>
      <c r="E329" s="135"/>
      <c r="F329" s="135"/>
      <c r="G329" s="43">
        <v>1</v>
      </c>
    </row>
    <row r="330" spans="1:8" x14ac:dyDescent="0.2">
      <c r="A330" s="4" t="s">
        <v>148</v>
      </c>
      <c r="B330" s="4" t="s">
        <v>515</v>
      </c>
      <c r="C330" s="4" t="s">
        <v>297</v>
      </c>
      <c r="D330" s="113" t="s">
        <v>475</v>
      </c>
      <c r="E330" s="114"/>
      <c r="F330" s="4" t="s">
        <v>484</v>
      </c>
      <c r="G330" s="59">
        <v>1</v>
      </c>
      <c r="H330" s="14">
        <v>0</v>
      </c>
    </row>
    <row r="331" spans="1:8" ht="12.2" customHeight="1" x14ac:dyDescent="0.2">
      <c r="D331" s="134" t="s">
        <v>692</v>
      </c>
      <c r="E331" s="135"/>
      <c r="F331" s="135"/>
      <c r="G331" s="43">
        <v>1</v>
      </c>
    </row>
    <row r="332" spans="1:8" x14ac:dyDescent="0.2">
      <c r="A332" s="4" t="s">
        <v>149</v>
      </c>
      <c r="B332" s="4" t="s">
        <v>515</v>
      </c>
      <c r="C332" s="4" t="s">
        <v>298</v>
      </c>
      <c r="D332" s="113" t="s">
        <v>476</v>
      </c>
      <c r="E332" s="114"/>
      <c r="F332" s="4" t="s">
        <v>484</v>
      </c>
      <c r="G332" s="59">
        <v>1</v>
      </c>
      <c r="H332" s="14">
        <v>0</v>
      </c>
    </row>
    <row r="333" spans="1:8" ht="12.2" customHeight="1" x14ac:dyDescent="0.2">
      <c r="D333" s="134" t="s">
        <v>692</v>
      </c>
      <c r="E333" s="135"/>
      <c r="F333" s="135"/>
      <c r="G333" s="43">
        <v>1</v>
      </c>
    </row>
    <row r="334" spans="1:8" x14ac:dyDescent="0.2">
      <c r="A334" s="4" t="s">
        <v>150</v>
      </c>
      <c r="B334" s="4" t="s">
        <v>515</v>
      </c>
      <c r="C334" s="4" t="s">
        <v>299</v>
      </c>
      <c r="D334" s="113" t="s">
        <v>477</v>
      </c>
      <c r="E334" s="114"/>
      <c r="F334" s="4" t="s">
        <v>484</v>
      </c>
      <c r="G334" s="59">
        <v>1</v>
      </c>
      <c r="H334" s="14">
        <v>0</v>
      </c>
    </row>
    <row r="335" spans="1:8" ht="12.2" customHeight="1" x14ac:dyDescent="0.2">
      <c r="D335" s="134" t="s">
        <v>692</v>
      </c>
      <c r="E335" s="135"/>
      <c r="F335" s="135"/>
      <c r="G335" s="43">
        <v>1</v>
      </c>
    </row>
    <row r="337" spans="1:7" ht="11.25" customHeight="1" x14ac:dyDescent="0.2">
      <c r="A337" s="7"/>
    </row>
    <row r="338" spans="1:7" x14ac:dyDescent="0.2">
      <c r="A338" s="67"/>
      <c r="B338" s="68"/>
      <c r="C338" s="68"/>
      <c r="D338" s="68"/>
      <c r="E338" s="68"/>
      <c r="F338" s="68"/>
      <c r="G338" s="68"/>
    </row>
  </sheetData>
  <mergeCells count="344">
    <mergeCell ref="F6:H7"/>
    <mergeCell ref="A8:B9"/>
    <mergeCell ref="C8:D9"/>
    <mergeCell ref="E8:E9"/>
    <mergeCell ref="F8:H9"/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D10:E10"/>
    <mergeCell ref="D11:E11"/>
    <mergeCell ref="D12:E12"/>
    <mergeCell ref="D13:E13"/>
    <mergeCell ref="D14:E14"/>
    <mergeCell ref="D15:E15"/>
    <mergeCell ref="A6:B7"/>
    <mergeCell ref="C6:D7"/>
    <mergeCell ref="E6:E7"/>
    <mergeCell ref="D22:F22"/>
    <mergeCell ref="D23:F23"/>
    <mergeCell ref="D24:E24"/>
    <mergeCell ref="D25:F25"/>
    <mergeCell ref="D26:E26"/>
    <mergeCell ref="D27:E27"/>
    <mergeCell ref="D16:F16"/>
    <mergeCell ref="D17:E17"/>
    <mergeCell ref="D18:F18"/>
    <mergeCell ref="D19:E19"/>
    <mergeCell ref="D20:F20"/>
    <mergeCell ref="D21:E21"/>
    <mergeCell ref="D34:E34"/>
    <mergeCell ref="D35:E35"/>
    <mergeCell ref="D36:F36"/>
    <mergeCell ref="D37:E37"/>
    <mergeCell ref="D38:F38"/>
    <mergeCell ref="D39:E39"/>
    <mergeCell ref="D28:F28"/>
    <mergeCell ref="D29:F29"/>
    <mergeCell ref="D30:F30"/>
    <mergeCell ref="D31:F31"/>
    <mergeCell ref="D32:E32"/>
    <mergeCell ref="D33:F33"/>
    <mergeCell ref="D46:E46"/>
    <mergeCell ref="D47:F47"/>
    <mergeCell ref="D48:E48"/>
    <mergeCell ref="D49:E49"/>
    <mergeCell ref="D50:F50"/>
    <mergeCell ref="D51:E51"/>
    <mergeCell ref="D40:F40"/>
    <mergeCell ref="D41:E41"/>
    <mergeCell ref="D42:F42"/>
    <mergeCell ref="D43:E43"/>
    <mergeCell ref="D44:E44"/>
    <mergeCell ref="D45:F45"/>
    <mergeCell ref="D58:E58"/>
    <mergeCell ref="D59:E59"/>
    <mergeCell ref="D60:F60"/>
    <mergeCell ref="D61:E61"/>
    <mergeCell ref="D62:F62"/>
    <mergeCell ref="D63:E63"/>
    <mergeCell ref="D52:F52"/>
    <mergeCell ref="D53:E53"/>
    <mergeCell ref="D54:F54"/>
    <mergeCell ref="D55:E55"/>
    <mergeCell ref="D56:E56"/>
    <mergeCell ref="D57:F57"/>
    <mergeCell ref="D70:F70"/>
    <mergeCell ref="D71:F71"/>
    <mergeCell ref="D72:F72"/>
    <mergeCell ref="D73:F73"/>
    <mergeCell ref="D74:E74"/>
    <mergeCell ref="D75:F75"/>
    <mergeCell ref="D64:E64"/>
    <mergeCell ref="D65:F65"/>
    <mergeCell ref="D66:F66"/>
    <mergeCell ref="D67:E67"/>
    <mergeCell ref="D68:E68"/>
    <mergeCell ref="D69:F69"/>
    <mergeCell ref="D82:F82"/>
    <mergeCell ref="D83:F83"/>
    <mergeCell ref="D84:E84"/>
    <mergeCell ref="D85:F85"/>
    <mergeCell ref="D86:E86"/>
    <mergeCell ref="D87:F87"/>
    <mergeCell ref="D76:E76"/>
    <mergeCell ref="D77:F77"/>
    <mergeCell ref="D78:E78"/>
    <mergeCell ref="D79:F79"/>
    <mergeCell ref="D80:E80"/>
    <mergeCell ref="D81:F81"/>
    <mergeCell ref="D94:F94"/>
    <mergeCell ref="D95:E95"/>
    <mergeCell ref="D96:F96"/>
    <mergeCell ref="D97:F97"/>
    <mergeCell ref="D98:E98"/>
    <mergeCell ref="D99:F99"/>
    <mergeCell ref="D88:F88"/>
    <mergeCell ref="D89:E89"/>
    <mergeCell ref="D90:F90"/>
    <mergeCell ref="D91:E91"/>
    <mergeCell ref="D92:F92"/>
    <mergeCell ref="D93:E93"/>
    <mergeCell ref="D106:E106"/>
    <mergeCell ref="D107:F107"/>
    <mergeCell ref="D108:E108"/>
    <mergeCell ref="D109:F109"/>
    <mergeCell ref="D110:E110"/>
    <mergeCell ref="D111:F111"/>
    <mergeCell ref="D100:E100"/>
    <mergeCell ref="D101:F101"/>
    <mergeCell ref="D102:E102"/>
    <mergeCell ref="D103:F103"/>
    <mergeCell ref="D104:E104"/>
    <mergeCell ref="D105:F105"/>
    <mergeCell ref="D118:E118"/>
    <mergeCell ref="D119:F119"/>
    <mergeCell ref="D120:E120"/>
    <mergeCell ref="D121:F121"/>
    <mergeCell ref="D122:E122"/>
    <mergeCell ref="D123:F123"/>
    <mergeCell ref="D112:E112"/>
    <mergeCell ref="D113:F113"/>
    <mergeCell ref="D114:E114"/>
    <mergeCell ref="D115:F115"/>
    <mergeCell ref="D116:E116"/>
    <mergeCell ref="D117:F117"/>
    <mergeCell ref="D130:F130"/>
    <mergeCell ref="D131:E131"/>
    <mergeCell ref="D132:F132"/>
    <mergeCell ref="D133:E133"/>
    <mergeCell ref="D134:F134"/>
    <mergeCell ref="D135:F135"/>
    <mergeCell ref="D124:E124"/>
    <mergeCell ref="D125:F125"/>
    <mergeCell ref="D126:E126"/>
    <mergeCell ref="D127:F127"/>
    <mergeCell ref="D128:F128"/>
    <mergeCell ref="D129:E129"/>
    <mergeCell ref="D142:F142"/>
    <mergeCell ref="D143:F143"/>
    <mergeCell ref="D144:E144"/>
    <mergeCell ref="D145:F145"/>
    <mergeCell ref="D146:E146"/>
    <mergeCell ref="D147:F147"/>
    <mergeCell ref="D136:E136"/>
    <mergeCell ref="D137:F137"/>
    <mergeCell ref="D138:E138"/>
    <mergeCell ref="D139:F139"/>
    <mergeCell ref="D140:F140"/>
    <mergeCell ref="D141:E141"/>
    <mergeCell ref="D154:E154"/>
    <mergeCell ref="D155:F155"/>
    <mergeCell ref="D156:E156"/>
    <mergeCell ref="D157:F157"/>
    <mergeCell ref="D158:E158"/>
    <mergeCell ref="D159:F159"/>
    <mergeCell ref="D148:E148"/>
    <mergeCell ref="D149:F149"/>
    <mergeCell ref="D150:E150"/>
    <mergeCell ref="D151:F151"/>
    <mergeCell ref="D152:E152"/>
    <mergeCell ref="D153:F153"/>
    <mergeCell ref="D166:E166"/>
    <mergeCell ref="D167:F167"/>
    <mergeCell ref="D168:E168"/>
    <mergeCell ref="D169:F169"/>
    <mergeCell ref="D170:E170"/>
    <mergeCell ref="D171:F171"/>
    <mergeCell ref="D160:E160"/>
    <mergeCell ref="D161:F161"/>
    <mergeCell ref="D162:E162"/>
    <mergeCell ref="D163:F163"/>
    <mergeCell ref="D164:E164"/>
    <mergeCell ref="D165:F165"/>
    <mergeCell ref="D178:E178"/>
    <mergeCell ref="D179:E179"/>
    <mergeCell ref="D180:E180"/>
    <mergeCell ref="D181:E181"/>
    <mergeCell ref="D182:E182"/>
    <mergeCell ref="D183:E183"/>
    <mergeCell ref="D172:E172"/>
    <mergeCell ref="D173:F173"/>
    <mergeCell ref="D174:E174"/>
    <mergeCell ref="D175:F175"/>
    <mergeCell ref="D176:E176"/>
    <mergeCell ref="D177:E177"/>
    <mergeCell ref="D190:F190"/>
    <mergeCell ref="D191:F191"/>
    <mergeCell ref="D192:E192"/>
    <mergeCell ref="D193:F193"/>
    <mergeCell ref="D194:F194"/>
    <mergeCell ref="D195:E195"/>
    <mergeCell ref="D184:E184"/>
    <mergeCell ref="D185:E185"/>
    <mergeCell ref="D186:F186"/>
    <mergeCell ref="D187:E187"/>
    <mergeCell ref="D188:F188"/>
    <mergeCell ref="D189:F189"/>
    <mergeCell ref="D202:E202"/>
    <mergeCell ref="D203:E203"/>
    <mergeCell ref="D204:F204"/>
    <mergeCell ref="D205:E205"/>
    <mergeCell ref="D206:E206"/>
    <mergeCell ref="D207:F207"/>
    <mergeCell ref="D196:F196"/>
    <mergeCell ref="D197:E197"/>
    <mergeCell ref="D198:F198"/>
    <mergeCell ref="D199:F199"/>
    <mergeCell ref="D200:E200"/>
    <mergeCell ref="D201:F201"/>
    <mergeCell ref="D214:F214"/>
    <mergeCell ref="D215:E215"/>
    <mergeCell ref="D216:F216"/>
    <mergeCell ref="D217:E217"/>
    <mergeCell ref="D218:F218"/>
    <mergeCell ref="D219:E219"/>
    <mergeCell ref="D208:E208"/>
    <mergeCell ref="D209:E209"/>
    <mergeCell ref="D210:F210"/>
    <mergeCell ref="D211:E211"/>
    <mergeCell ref="D212:F212"/>
    <mergeCell ref="D213:E213"/>
    <mergeCell ref="D226:F226"/>
    <mergeCell ref="D227:E227"/>
    <mergeCell ref="D228:F228"/>
    <mergeCell ref="D229:E229"/>
    <mergeCell ref="D230:F230"/>
    <mergeCell ref="D231:E231"/>
    <mergeCell ref="D220:F220"/>
    <mergeCell ref="D221:E221"/>
    <mergeCell ref="D222:F222"/>
    <mergeCell ref="D223:E223"/>
    <mergeCell ref="D224:F224"/>
    <mergeCell ref="D225:E225"/>
    <mergeCell ref="D238:E238"/>
    <mergeCell ref="D239:F239"/>
    <mergeCell ref="D240:E240"/>
    <mergeCell ref="D241:F241"/>
    <mergeCell ref="D242:E242"/>
    <mergeCell ref="D243:F243"/>
    <mergeCell ref="D232:F232"/>
    <mergeCell ref="D233:E233"/>
    <mergeCell ref="D234:F234"/>
    <mergeCell ref="D235:E235"/>
    <mergeCell ref="D236:F236"/>
    <mergeCell ref="D237:F237"/>
    <mergeCell ref="D250:E250"/>
    <mergeCell ref="D251:F251"/>
    <mergeCell ref="D252:E252"/>
    <mergeCell ref="D253:F253"/>
    <mergeCell ref="D254:E254"/>
    <mergeCell ref="D255:E255"/>
    <mergeCell ref="D244:E244"/>
    <mergeCell ref="D245:F245"/>
    <mergeCell ref="D246:E246"/>
    <mergeCell ref="D247:F247"/>
    <mergeCell ref="D248:E248"/>
    <mergeCell ref="D249:F249"/>
    <mergeCell ref="D262:E262"/>
    <mergeCell ref="D263:F263"/>
    <mergeCell ref="D264:E264"/>
    <mergeCell ref="D265:E265"/>
    <mergeCell ref="D266:F266"/>
    <mergeCell ref="D267:E267"/>
    <mergeCell ref="D256:F256"/>
    <mergeCell ref="D257:F257"/>
    <mergeCell ref="D258:E258"/>
    <mergeCell ref="D259:F259"/>
    <mergeCell ref="D260:F260"/>
    <mergeCell ref="D261:E261"/>
    <mergeCell ref="D274:E274"/>
    <mergeCell ref="D275:E275"/>
    <mergeCell ref="D276:F276"/>
    <mergeCell ref="D277:E277"/>
    <mergeCell ref="D278:F278"/>
    <mergeCell ref="D279:E279"/>
    <mergeCell ref="D268:E268"/>
    <mergeCell ref="D269:F269"/>
    <mergeCell ref="D270:E270"/>
    <mergeCell ref="D271:F271"/>
    <mergeCell ref="D272:E272"/>
    <mergeCell ref="D273:F273"/>
    <mergeCell ref="D286:F286"/>
    <mergeCell ref="D287:E287"/>
    <mergeCell ref="D288:F288"/>
    <mergeCell ref="D289:E289"/>
    <mergeCell ref="D290:F290"/>
    <mergeCell ref="D291:E291"/>
    <mergeCell ref="D280:F280"/>
    <mergeCell ref="D281:E281"/>
    <mergeCell ref="D282:F282"/>
    <mergeCell ref="D283:E283"/>
    <mergeCell ref="D284:F284"/>
    <mergeCell ref="D285:E285"/>
    <mergeCell ref="D298:E298"/>
    <mergeCell ref="D299:E299"/>
    <mergeCell ref="D300:F300"/>
    <mergeCell ref="D301:F301"/>
    <mergeCell ref="D302:E302"/>
    <mergeCell ref="D303:F303"/>
    <mergeCell ref="D292:F292"/>
    <mergeCell ref="D293:E293"/>
    <mergeCell ref="D294:F294"/>
    <mergeCell ref="D295:E295"/>
    <mergeCell ref="D296:E296"/>
    <mergeCell ref="D297:F297"/>
    <mergeCell ref="D310:E310"/>
    <mergeCell ref="D311:F311"/>
    <mergeCell ref="D312:E312"/>
    <mergeCell ref="D313:F313"/>
    <mergeCell ref="D314:E314"/>
    <mergeCell ref="D315:F315"/>
    <mergeCell ref="D304:F304"/>
    <mergeCell ref="D305:E305"/>
    <mergeCell ref="D306:F306"/>
    <mergeCell ref="D307:E307"/>
    <mergeCell ref="D308:F308"/>
    <mergeCell ref="D309:F309"/>
    <mergeCell ref="D322:E322"/>
    <mergeCell ref="D323:E323"/>
    <mergeCell ref="D324:E324"/>
    <mergeCell ref="D325:E325"/>
    <mergeCell ref="D326:E326"/>
    <mergeCell ref="D327:E327"/>
    <mergeCell ref="D316:F316"/>
    <mergeCell ref="D317:E317"/>
    <mergeCell ref="D318:F318"/>
    <mergeCell ref="D319:E319"/>
    <mergeCell ref="D320:F320"/>
    <mergeCell ref="D321:E321"/>
    <mergeCell ref="D334:E334"/>
    <mergeCell ref="D335:F335"/>
    <mergeCell ref="A338:G338"/>
    <mergeCell ref="D328:E328"/>
    <mergeCell ref="D329:F329"/>
    <mergeCell ref="D330:E330"/>
    <mergeCell ref="D331:F331"/>
    <mergeCell ref="D332:E332"/>
    <mergeCell ref="D333:F333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Stavební rozpočet - součet</vt:lpstr>
      <vt:lpstr>Stavební rozpočet</vt:lpstr>
      <vt:lpstr>Výkaz výměr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Hefner</dc:creator>
  <cp:lastModifiedBy>S</cp:lastModifiedBy>
  <dcterms:created xsi:type="dcterms:W3CDTF">2020-10-19T15:40:24Z</dcterms:created>
  <dcterms:modified xsi:type="dcterms:W3CDTF">2021-02-10T13:49:05Z</dcterms:modified>
</cp:coreProperties>
</file>